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vesmarr/Desktop/__science/articles/in preparation/H-N-OC002/article-versions/_soumis/"/>
    </mc:Choice>
  </mc:AlternateContent>
  <xr:revisionPtr revIDLastSave="0" documentId="13_ncr:1_{AFCABE54-961F-CC4D-BCFA-4C88171E8E68}" xr6:coauthVersionLast="47" xr6:coauthVersionMax="47" xr10:uidLastSave="{00000000-0000-0000-0000-000000000000}"/>
  <bookViews>
    <workbookView xWindow="0" yWindow="1560" windowWidth="27760" windowHeight="17500" xr2:uid="{A68C0519-BCDE-874E-884B-B25ECACF334C}"/>
  </bookViews>
  <sheets>
    <sheet name="Feuil1" sheetId="1" r:id="rId1"/>
    <sheet name="Feuil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6" i="1" l="1"/>
  <c r="Q55" i="1"/>
  <c r="D81" i="1"/>
  <c r="E81" i="1"/>
  <c r="F81" i="1"/>
  <c r="G81" i="1"/>
  <c r="H81" i="1"/>
  <c r="I81" i="1"/>
  <c r="J81" i="1"/>
  <c r="K81" i="1"/>
  <c r="C81" i="1"/>
  <c r="K71" i="1"/>
  <c r="K72" i="1"/>
  <c r="K73" i="1"/>
  <c r="K74" i="1"/>
  <c r="K76" i="1"/>
  <c r="K77" i="1"/>
  <c r="K78" i="1"/>
  <c r="K79" i="1"/>
  <c r="K80" i="1"/>
  <c r="K70" i="1"/>
  <c r="V8" i="2"/>
  <c r="V23" i="2"/>
  <c r="V24" i="2"/>
  <c r="V25" i="2"/>
  <c r="V22" i="2"/>
  <c r="V21" i="2"/>
  <c r="V20" i="2"/>
  <c r="V19" i="2"/>
  <c r="V18" i="2"/>
  <c r="V17" i="2"/>
  <c r="V16" i="2"/>
  <c r="V15" i="2"/>
  <c r="V14" i="2"/>
  <c r="V13" i="2"/>
  <c r="V12" i="2"/>
  <c r="V11" i="2"/>
  <c r="V10" i="2"/>
  <c r="V9" i="2"/>
  <c r="V7" i="2"/>
  <c r="V6" i="2"/>
  <c r="V5" i="2"/>
  <c r="K23" i="1"/>
  <c r="K7" i="2"/>
  <c r="S5" i="2"/>
  <c r="M6" i="2"/>
  <c r="S13" i="2" s="1"/>
  <c r="T24" i="2"/>
  <c r="U24" i="2"/>
  <c r="W24" i="2"/>
  <c r="T25" i="2"/>
  <c r="U25" i="2"/>
  <c r="W25" i="2"/>
  <c r="U23" i="2"/>
  <c r="W23" i="2"/>
  <c r="T23" i="2"/>
  <c r="T22" i="2"/>
  <c r="U21" i="2"/>
  <c r="W21" i="2"/>
  <c r="T21" i="2"/>
  <c r="W20" i="2"/>
  <c r="T20" i="2"/>
  <c r="T19" i="2"/>
  <c r="W19" i="2"/>
  <c r="W18" i="2"/>
  <c r="U17" i="2"/>
  <c r="W17" i="2"/>
  <c r="T17" i="2"/>
  <c r="U16" i="2"/>
  <c r="W16" i="2"/>
  <c r="T16" i="2"/>
  <c r="U8" i="2"/>
  <c r="W8" i="2"/>
  <c r="T8" i="2"/>
  <c r="W15" i="2"/>
  <c r="U15" i="2"/>
  <c r="T15" i="2"/>
  <c r="T14" i="2"/>
  <c r="W14" i="2"/>
  <c r="U13" i="2"/>
  <c r="W13" i="2"/>
  <c r="T13" i="2"/>
  <c r="T12" i="2"/>
  <c r="W12" i="2"/>
  <c r="W11" i="2"/>
  <c r="T11" i="2"/>
  <c r="T10" i="2"/>
  <c r="W10" i="2"/>
  <c r="W9" i="2"/>
  <c r="U7" i="2"/>
  <c r="W7" i="2"/>
  <c r="T7" i="2"/>
  <c r="W6" i="2"/>
  <c r="U6" i="2"/>
  <c r="T6" i="2"/>
  <c r="U5" i="2"/>
  <c r="W5" i="2"/>
  <c r="T5" i="2"/>
  <c r="N17" i="2"/>
  <c r="T18" i="2" s="1"/>
  <c r="N15" i="2"/>
  <c r="T9" i="2" s="1"/>
  <c r="E16" i="2"/>
  <c r="D6" i="2"/>
  <c r="D7" i="2" s="1"/>
  <c r="D8" i="2" s="1"/>
  <c r="D9" i="2" s="1"/>
  <c r="D10" i="2" s="1"/>
  <c r="D11" i="2" s="1"/>
  <c r="H5" i="2" s="1"/>
  <c r="E9" i="2"/>
  <c r="K4" i="1"/>
  <c r="K8" i="1"/>
  <c r="K9" i="1"/>
  <c r="K10" i="1"/>
  <c r="K12" i="1"/>
  <c r="K13" i="1"/>
  <c r="K14" i="1"/>
  <c r="K15" i="1"/>
  <c r="K18" i="1"/>
  <c r="K19" i="1"/>
  <c r="K20" i="1"/>
  <c r="K22" i="1"/>
  <c r="K24" i="1"/>
  <c r="K25" i="1"/>
  <c r="K26" i="1"/>
  <c r="K27" i="1"/>
  <c r="K3" i="1"/>
  <c r="L21" i="1"/>
  <c r="O22" i="1"/>
  <c r="N22" i="1"/>
  <c r="H22" i="1"/>
  <c r="G22" i="1"/>
  <c r="U21" i="1"/>
  <c r="T21" i="1"/>
  <c r="S21" i="1"/>
  <c r="R21" i="1"/>
  <c r="Q21" i="1"/>
  <c r="P21" i="1"/>
  <c r="M21" i="1"/>
  <c r="J21" i="1"/>
  <c r="I21" i="1"/>
  <c r="K21" i="1" s="1"/>
  <c r="O20" i="1"/>
  <c r="N20" i="1"/>
  <c r="H20" i="1"/>
  <c r="G20" i="1"/>
  <c r="N19" i="1"/>
  <c r="G19" i="1"/>
  <c r="O18" i="1"/>
  <c r="N18" i="1"/>
  <c r="H18" i="1"/>
  <c r="G18" i="1"/>
  <c r="W17" i="1"/>
  <c r="V17" i="1"/>
  <c r="U17" i="1"/>
  <c r="T17" i="1"/>
  <c r="S17" i="1"/>
  <c r="R17" i="1"/>
  <c r="Q17" i="1"/>
  <c r="P17" i="1"/>
  <c r="L16" i="1"/>
  <c r="N16" i="1" s="1"/>
  <c r="G16" i="1"/>
  <c r="I16" i="1" s="1"/>
  <c r="K16" i="1" s="1"/>
  <c r="O15" i="1"/>
  <c r="N15" i="1"/>
  <c r="H15" i="1"/>
  <c r="G15" i="1"/>
  <c r="N14" i="1"/>
  <c r="G14" i="1"/>
  <c r="N13" i="1"/>
  <c r="G13" i="1"/>
  <c r="W11" i="1"/>
  <c r="V11" i="1"/>
  <c r="U11" i="1"/>
  <c r="T11" i="1"/>
  <c r="H10" i="1"/>
  <c r="G10" i="1"/>
  <c r="O9" i="1"/>
  <c r="N9" i="1"/>
  <c r="H9" i="1"/>
  <c r="G9" i="1"/>
  <c r="N8" i="1"/>
  <c r="G8" i="1"/>
  <c r="L7" i="1"/>
  <c r="N7" i="1" s="1"/>
  <c r="G7" i="1"/>
  <c r="I7" i="1" s="1"/>
  <c r="K7" i="1" s="1"/>
  <c r="P6" i="1"/>
  <c r="N6" i="1"/>
  <c r="G6" i="1"/>
  <c r="R5" i="1"/>
  <c r="R11" i="1" s="1"/>
  <c r="P5" i="1"/>
  <c r="N5" i="1"/>
  <c r="G5" i="1"/>
  <c r="I5" i="1" s="1"/>
  <c r="K5" i="1" s="1"/>
  <c r="M11" i="1" l="1"/>
  <c r="Y9" i="2"/>
  <c r="X8" i="2"/>
  <c r="X7" i="2"/>
  <c r="Y7" i="2"/>
  <c r="Y8" i="2"/>
  <c r="M7" i="2"/>
  <c r="X9" i="2"/>
  <c r="D12" i="2"/>
  <c r="D13" i="2" s="1"/>
  <c r="D14" i="2" s="1"/>
  <c r="D15" i="2" s="1"/>
  <c r="D16" i="2" s="1"/>
  <c r="D17" i="2" s="1"/>
  <c r="D18" i="2" s="1"/>
  <c r="Q11" i="1"/>
  <c r="L17" i="1"/>
  <c r="O11" i="1"/>
  <c r="O17" i="1"/>
  <c r="L11" i="1"/>
  <c r="O21" i="1"/>
  <c r="G11" i="1"/>
  <c r="N21" i="1"/>
  <c r="H21" i="1"/>
  <c r="H11" i="1"/>
  <c r="S11" i="1"/>
  <c r="H17" i="1"/>
  <c r="P11" i="1"/>
  <c r="J17" i="1"/>
  <c r="I17" i="1"/>
  <c r="K17" i="1" s="1"/>
  <c r="I6" i="1"/>
  <c r="M17" i="1"/>
  <c r="N17" i="1"/>
  <c r="G17" i="1"/>
  <c r="N11" i="1"/>
  <c r="G21" i="1"/>
  <c r="I11" i="1" l="1"/>
  <c r="K6" i="1"/>
  <c r="M8" i="2"/>
  <c r="S14" i="2"/>
  <c r="J11" i="1"/>
  <c r="K11" i="1" l="1"/>
  <c r="M9" i="2"/>
  <c r="S16" i="2"/>
  <c r="M10" i="2" l="1"/>
  <c r="S6" i="2"/>
  <c r="M11" i="2" l="1"/>
  <c r="S17" i="2"/>
  <c r="M12" i="2" l="1"/>
  <c r="S21" i="2"/>
  <c r="M13" i="2" l="1"/>
  <c r="S7" i="2"/>
  <c r="M14" i="2" l="1"/>
  <c r="S15" i="2"/>
  <c r="M15" i="2" l="1"/>
  <c r="S8" i="2"/>
  <c r="M16" i="2" l="1"/>
  <c r="S9" i="2"/>
  <c r="M17" i="2" l="1"/>
  <c r="S10" i="2"/>
  <c r="M18" i="2" l="1"/>
  <c r="S18" i="2"/>
  <c r="M19" i="2" l="1"/>
  <c r="S19" i="2"/>
  <c r="M20" i="2" l="1"/>
  <c r="S11" i="2"/>
  <c r="M21" i="2" l="1"/>
  <c r="S12" i="2"/>
  <c r="M22" i="2" l="1"/>
  <c r="S22" i="2"/>
  <c r="M23" i="2" l="1"/>
  <c r="S20" i="2"/>
  <c r="M24" i="2" l="1"/>
  <c r="S23" i="2"/>
  <c r="M25" i="2" l="1"/>
  <c r="S25" i="2" s="1"/>
  <c r="S24" i="2"/>
</calcChain>
</file>

<file path=xl/sharedStrings.xml><?xml version="1.0" encoding="utf-8"?>
<sst xmlns="http://schemas.openxmlformats.org/spreadsheetml/2006/main" count="185" uniqueCount="81">
  <si>
    <t>Study</t>
  </si>
  <si>
    <t>Conditions</t>
  </si>
  <si>
    <t>Meteorite</t>
  </si>
  <si>
    <t>Class</t>
  </si>
  <si>
    <t>Type</t>
  </si>
  <si>
    <t>Petro</t>
  </si>
  <si>
    <t>H2O wt%</t>
  </si>
  <si>
    <t>1s</t>
  </si>
  <si>
    <t>H wt%</t>
  </si>
  <si>
    <t>dD smow</t>
  </si>
  <si>
    <t>D/H</t>
  </si>
  <si>
    <t>1S</t>
  </si>
  <si>
    <t>C wt%</t>
  </si>
  <si>
    <t>d13C</t>
  </si>
  <si>
    <t>2S</t>
  </si>
  <si>
    <t>N wt.%</t>
  </si>
  <si>
    <t>2s</t>
  </si>
  <si>
    <t>d15N</t>
  </si>
  <si>
    <t>S wt%</t>
  </si>
  <si>
    <t>Jarosewich et al. 2006 (update 1990)</t>
  </si>
  <si>
    <t xml:space="preserve">H2O+ only // C </t>
  </si>
  <si>
    <t xml:space="preserve">Orgueil      </t>
  </si>
  <si>
    <t>CC</t>
  </si>
  <si>
    <t>CI</t>
  </si>
  <si>
    <t>Alexander et al. 2012</t>
  </si>
  <si>
    <t>Room T vacuum degassing</t>
  </si>
  <si>
    <t>Orgueil BM</t>
  </si>
  <si>
    <t>Orgueil SI</t>
  </si>
  <si>
    <t>Robert &amp; Epstein, 1982</t>
  </si>
  <si>
    <t>Stepwise pyrolysis T&gt;200°C</t>
  </si>
  <si>
    <t>Orgueil</t>
  </si>
  <si>
    <t>Yang &amp; Epstein, 1983</t>
  </si>
  <si>
    <t>Stepwise heating T&gt;350°C // loss of indigeneous water?</t>
  </si>
  <si>
    <t>mn</t>
  </si>
  <si>
    <t>Kolodny et al. 1980</t>
  </si>
  <si>
    <t>180-200°C vacuum degassing H</t>
  </si>
  <si>
    <t>Boato 1954</t>
  </si>
  <si>
    <t>nm</t>
  </si>
  <si>
    <t>Pearson et al. 2001 LPSC</t>
  </si>
  <si>
    <t>No degassing for H based on 2041</t>
  </si>
  <si>
    <t>Vacher et al. 2020</t>
  </si>
  <si>
    <t>120°C vacuum degassing H</t>
  </si>
  <si>
    <t>Orgueil Average</t>
  </si>
  <si>
    <t>Ivuna</t>
  </si>
  <si>
    <t>Kerridge et al. 1985 (only this study)</t>
  </si>
  <si>
    <t xml:space="preserve">200°C outgassing H </t>
  </si>
  <si>
    <t>No degassing for H based on 2043</t>
  </si>
  <si>
    <t>Ivuna Average</t>
  </si>
  <si>
    <t>No degassing for H based on 2042</t>
  </si>
  <si>
    <t>Alais</t>
  </si>
  <si>
    <t>Vacher et al. 2020 GCA</t>
  </si>
  <si>
    <t>Alais Average</t>
  </si>
  <si>
    <t>Y-980115</t>
  </si>
  <si>
    <t>Oued Cheibeika 002</t>
  </si>
  <si>
    <t>Bennu</t>
  </si>
  <si>
    <t>1/H</t>
  </si>
  <si>
    <t>OC 002</t>
  </si>
  <si>
    <t>R</t>
  </si>
  <si>
    <t>B</t>
  </si>
  <si>
    <t>dD</t>
  </si>
  <si>
    <t>Orgueil/Alais</t>
  </si>
  <si>
    <t>OC OO2</t>
  </si>
  <si>
    <t>Ryugu</t>
  </si>
  <si>
    <t>d13C TC</t>
  </si>
  <si>
    <t>d13C TOC</t>
  </si>
  <si>
    <t>Bennu  (Lauretta+ 2025)</t>
  </si>
  <si>
    <t>A0022</t>
  </si>
  <si>
    <t>A0033</t>
  </si>
  <si>
    <t>A0035</t>
  </si>
  <si>
    <t>A0048</t>
  </si>
  <si>
    <t>A0085</t>
  </si>
  <si>
    <t>C0019</t>
  </si>
  <si>
    <t>A0078</t>
  </si>
  <si>
    <t>C0027</t>
  </si>
  <si>
    <t>C0079</t>
  </si>
  <si>
    <t>C0081</t>
  </si>
  <si>
    <t>C0082</t>
  </si>
  <si>
    <t>TC</t>
  </si>
  <si>
    <t>TOC</t>
  </si>
  <si>
    <t>Ryugu Yoko</t>
  </si>
  <si>
    <t>moyenne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</si>
</sst>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3"/>
      <name val="Calibri"/>
      <family val="2"/>
    </font>
    <font>
      <sz val="12"/>
      <color theme="3"/>
      <name val="Calibri"/>
      <family val="2"/>
      <scheme val="minor"/>
    </font>
    <font>
      <sz val="12"/>
      <name val="Calibri"/>
      <family val="2"/>
    </font>
    <font>
      <sz val="12"/>
      <color theme="8" tint="-0.499984740745262"/>
      <name val="Calibri"/>
      <family val="2"/>
    </font>
    <font>
      <b/>
      <sz val="12"/>
      <color theme="8" tint="-0.499984740745262"/>
      <name val="Calibri"/>
      <family val="2"/>
    </font>
    <font>
      <sz val="12"/>
      <color rgb="FF0000FF"/>
      <name val="Calibri"/>
      <family val="2"/>
    </font>
    <font>
      <sz val="12"/>
      <color rgb="FF0000FF"/>
      <name val="Calibri"/>
      <family val="2"/>
      <scheme val="minor"/>
    </font>
    <font>
      <b/>
      <sz val="12"/>
      <color rgb="FF0000FF"/>
      <name val="Calibri"/>
      <family val="2"/>
    </font>
    <font>
      <sz val="12"/>
      <color rgb="FF000090"/>
      <name val="Calibri"/>
      <family val="2"/>
    </font>
    <font>
      <sz val="12"/>
      <color rgb="FF000090"/>
      <name val="Calibri"/>
      <family val="2"/>
      <scheme val="minor"/>
    </font>
    <font>
      <b/>
      <sz val="12"/>
      <color rgb="FF000090"/>
      <name val="Calibri"/>
      <family val="2"/>
    </font>
    <font>
      <sz val="12"/>
      <color rgb="FF000000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rgb="FF00B050"/>
      <name val="Calibri (Corps)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right"/>
    </xf>
    <xf numFmtId="2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12" fillId="0" borderId="0" xfId="0" applyFont="1" applyAlignment="1">
      <alignment horizontal="right"/>
    </xf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right"/>
    </xf>
    <xf numFmtId="0" fontId="17" fillId="0" borderId="0" xfId="0" applyFont="1"/>
    <xf numFmtId="0" fontId="16" fillId="0" borderId="0" xfId="0" applyFont="1" applyAlignment="1">
      <alignment horizontal="right"/>
    </xf>
    <xf numFmtId="165" fontId="0" fillId="0" borderId="0" xfId="0" applyNumberFormat="1"/>
    <xf numFmtId="2" fontId="0" fillId="0" borderId="0" xfId="0" applyNumberFormat="1"/>
    <xf numFmtId="0" fontId="0" fillId="0" borderId="0" xfId="0" applyFill="1"/>
    <xf numFmtId="2" fontId="0" fillId="0" borderId="0" xfId="0" applyNumberFormat="1" applyFill="1"/>
    <xf numFmtId="164" fontId="0" fillId="0" borderId="0" xfId="0" applyNumberFormat="1" applyFill="1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2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11" fontId="2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1" fillId="0" borderId="0" xfId="0" applyFont="1" applyFill="1"/>
    <xf numFmtId="0" fontId="0" fillId="0" borderId="0" xfId="0" applyFill="1" applyAlignment="1">
      <alignment horizontal="center"/>
    </xf>
    <xf numFmtId="0" fontId="4" fillId="0" borderId="0" xfId="0" applyFont="1" applyFill="1" applyAlignment="1">
      <alignment horizontal="left"/>
    </xf>
    <xf numFmtId="2" fontId="4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2" fontId="1" fillId="0" borderId="0" xfId="0" applyNumberFormat="1" applyFont="1" applyFill="1" applyAlignment="1">
      <alignment horizontal="right"/>
    </xf>
    <xf numFmtId="11" fontId="1" fillId="0" borderId="0" xfId="0" applyNumberFormat="1" applyFont="1" applyFill="1" applyAlignment="1">
      <alignment horizontal="right"/>
    </xf>
    <xf numFmtId="2" fontId="0" fillId="0" borderId="0" xfId="0" applyNumberFormat="1" applyFill="1" applyAlignment="1">
      <alignment horizontal="right"/>
    </xf>
    <xf numFmtId="165" fontId="4" fillId="0" borderId="0" xfId="0" applyNumberFormat="1" applyFont="1" applyFill="1" applyAlignment="1">
      <alignment horizontal="right"/>
    </xf>
    <xf numFmtId="165" fontId="1" fillId="0" borderId="0" xfId="0" applyNumberFormat="1" applyFont="1" applyFill="1" applyAlignment="1">
      <alignment horizontal="right"/>
    </xf>
    <xf numFmtId="0" fontId="0" fillId="0" borderId="0" xfId="0" applyFill="1" applyAlignment="1">
      <alignment horizontal="right"/>
    </xf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 applyFill="1" applyAlignment="1">
      <alignment horizontal="left"/>
    </xf>
    <xf numFmtId="1" fontId="6" fillId="0" borderId="0" xfId="0" applyNumberFormat="1" applyFont="1" applyFill="1"/>
    <xf numFmtId="165" fontId="7" fillId="0" borderId="0" xfId="0" applyNumberFormat="1" applyFont="1" applyFill="1" applyAlignment="1">
      <alignment horizontal="right"/>
    </xf>
    <xf numFmtId="2" fontId="6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8" fillId="0" borderId="0" xfId="0" applyFont="1" applyFill="1"/>
    <xf numFmtId="0" fontId="8" fillId="0" borderId="0" xfId="0" quotePrefix="1" applyFont="1" applyFill="1" applyAlignment="1">
      <alignment horizontal="left"/>
    </xf>
    <xf numFmtId="2" fontId="8" fillId="0" borderId="0" xfId="0" applyNumberFormat="1" applyFont="1" applyFill="1"/>
    <xf numFmtId="2" fontId="8" fillId="0" borderId="0" xfId="0" applyNumberFormat="1" applyFont="1" applyFill="1" applyAlignment="1">
      <alignment horizontal="right"/>
    </xf>
    <xf numFmtId="165" fontId="8" fillId="0" borderId="0" xfId="0" applyNumberFormat="1" applyFont="1" applyFill="1"/>
    <xf numFmtId="0" fontId="9" fillId="0" borderId="0" xfId="0" applyFont="1" applyFill="1" applyAlignment="1">
      <alignment horizontal="left"/>
    </xf>
    <xf numFmtId="165" fontId="10" fillId="0" borderId="0" xfId="0" applyNumberFormat="1" applyFont="1" applyFill="1" applyAlignment="1">
      <alignment horizontal="right"/>
    </xf>
    <xf numFmtId="2" fontId="10" fillId="0" borderId="0" xfId="0" applyNumberFormat="1" applyFont="1" applyFill="1" applyAlignment="1">
      <alignment horizontal="right"/>
    </xf>
    <xf numFmtId="0" fontId="11" fillId="0" borderId="0" xfId="0" applyFont="1" applyFill="1"/>
    <xf numFmtId="0" fontId="11" fillId="0" borderId="0" xfId="0" quotePrefix="1" applyFont="1" applyFill="1" applyAlignment="1">
      <alignment horizontal="left"/>
    </xf>
    <xf numFmtId="2" fontId="11" fillId="0" borderId="0" xfId="0" applyNumberFormat="1" applyFont="1" applyFill="1"/>
    <xf numFmtId="2" fontId="11" fillId="0" borderId="0" xfId="0" applyNumberFormat="1" applyFont="1" applyFill="1" applyAlignment="1">
      <alignment horizontal="right"/>
    </xf>
    <xf numFmtId="11" fontId="11" fillId="0" borderId="0" xfId="0" applyNumberFormat="1" applyFont="1" applyFill="1" applyAlignment="1">
      <alignment horizontal="right"/>
    </xf>
    <xf numFmtId="165" fontId="11" fillId="0" borderId="0" xfId="0" applyNumberFormat="1" applyFont="1" applyFill="1"/>
    <xf numFmtId="0" fontId="12" fillId="0" borderId="0" xfId="0" applyFont="1" applyFill="1" applyAlignment="1">
      <alignment horizontal="left"/>
    </xf>
    <xf numFmtId="2" fontId="13" fillId="0" borderId="0" xfId="0" applyNumberFormat="1" applyFont="1" applyFill="1" applyAlignment="1">
      <alignment horizontal="right"/>
    </xf>
    <xf numFmtId="0" fontId="12" fillId="0" borderId="0" xfId="0" applyFont="1" applyFill="1"/>
    <xf numFmtId="1" fontId="12" fillId="0" borderId="0" xfId="0" applyNumberFormat="1" applyFont="1" applyFill="1"/>
    <xf numFmtId="165" fontId="12" fillId="0" borderId="0" xfId="0" applyNumberFormat="1" applyFont="1" applyFill="1" applyAlignment="1">
      <alignment horizontal="right"/>
    </xf>
    <xf numFmtId="2" fontId="12" fillId="0" borderId="0" xfId="0" applyNumberFormat="1" applyFont="1" applyFill="1" applyAlignment="1">
      <alignment horizontal="right"/>
    </xf>
    <xf numFmtId="0" fontId="12" fillId="0" borderId="0" xfId="0" applyFont="1" applyFill="1" applyAlignment="1">
      <alignment horizontal="right"/>
    </xf>
    <xf numFmtId="11" fontId="12" fillId="0" borderId="0" xfId="0" applyNumberFormat="1" applyFont="1" applyFill="1" applyAlignment="1">
      <alignment horizontal="right"/>
    </xf>
    <xf numFmtId="0" fontId="14" fillId="0" borderId="0" xfId="0" applyFont="1" applyFill="1"/>
    <xf numFmtId="0" fontId="14" fillId="0" borderId="0" xfId="0" quotePrefix="1" applyFont="1" applyFill="1" applyAlignment="1">
      <alignment horizontal="left"/>
    </xf>
    <xf numFmtId="2" fontId="14" fillId="0" borderId="0" xfId="0" applyNumberFormat="1" applyFont="1" applyFill="1"/>
    <xf numFmtId="2" fontId="14" fillId="0" borderId="0" xfId="0" applyNumberFormat="1" applyFont="1" applyFill="1" applyAlignment="1">
      <alignment horizontal="right"/>
    </xf>
    <xf numFmtId="11" fontId="14" fillId="0" borderId="0" xfId="0" applyNumberFormat="1" applyFont="1" applyFill="1" applyAlignment="1">
      <alignment horizontal="right"/>
    </xf>
    <xf numFmtId="165" fontId="14" fillId="0" borderId="0" xfId="0" applyNumberFormat="1" applyFont="1" applyFill="1"/>
    <xf numFmtId="0" fontId="6" fillId="0" borderId="0" xfId="0" applyFont="1" applyFill="1" applyAlignment="1">
      <alignment horizontal="left"/>
    </xf>
    <xf numFmtId="165" fontId="6" fillId="0" borderId="0" xfId="0" applyNumberFormat="1" applyFont="1" applyFill="1" applyAlignment="1">
      <alignment horizontal="right"/>
    </xf>
    <xf numFmtId="165" fontId="0" fillId="0" borderId="0" xfId="0" applyNumberFormat="1" applyFill="1"/>
    <xf numFmtId="0" fontId="18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Feuil1!$C$70:$C$88</c:f>
              <c:numCache>
                <c:formatCode>General</c:formatCode>
                <c:ptCount val="19"/>
                <c:pt idx="0">
                  <c:v>178</c:v>
                </c:pt>
                <c:pt idx="1">
                  <c:v>202</c:v>
                </c:pt>
                <c:pt idx="2">
                  <c:v>158</c:v>
                </c:pt>
                <c:pt idx="3">
                  <c:v>218</c:v>
                </c:pt>
                <c:pt idx="4">
                  <c:v>183</c:v>
                </c:pt>
                <c:pt idx="5">
                  <c:v>341</c:v>
                </c:pt>
                <c:pt idx="6">
                  <c:v>100</c:v>
                </c:pt>
                <c:pt idx="7">
                  <c:v>123</c:v>
                </c:pt>
                <c:pt idx="8">
                  <c:v>159</c:v>
                </c:pt>
                <c:pt idx="9">
                  <c:v>345</c:v>
                </c:pt>
                <c:pt idx="10">
                  <c:v>108</c:v>
                </c:pt>
                <c:pt idx="11" formatCode="0.00">
                  <c:v>192.27272727272728</c:v>
                </c:pt>
                <c:pt idx="13">
                  <c:v>135.85</c:v>
                </c:pt>
                <c:pt idx="14">
                  <c:v>80</c:v>
                </c:pt>
                <c:pt idx="15">
                  <c:v>315</c:v>
                </c:pt>
                <c:pt idx="16">
                  <c:v>305</c:v>
                </c:pt>
                <c:pt idx="17">
                  <c:v>344</c:v>
                </c:pt>
                <c:pt idx="18">
                  <c:v>252</c:v>
                </c:pt>
              </c:numCache>
            </c:numRef>
          </c:xVal>
          <c:yVal>
            <c:numRef>
              <c:f>Feuil1!$K$70:$K$88</c:f>
              <c:numCache>
                <c:formatCode>General</c:formatCode>
                <c:ptCount val="19"/>
                <c:pt idx="0">
                  <c:v>3.621621621621621</c:v>
                </c:pt>
                <c:pt idx="1">
                  <c:v>7.7665706051873196</c:v>
                </c:pt>
                <c:pt idx="2">
                  <c:v>3.1692307692307691</c:v>
                </c:pt>
                <c:pt idx="3">
                  <c:v>3.026785714285714</c:v>
                </c:pt>
                <c:pt idx="4">
                  <c:v>3.378640776699029</c:v>
                </c:pt>
                <c:pt idx="6">
                  <c:v>3.6274509803921569</c:v>
                </c:pt>
                <c:pt idx="7">
                  <c:v>2.9532710280373831</c:v>
                </c:pt>
                <c:pt idx="8">
                  <c:v>2.8333333333333335</c:v>
                </c:pt>
                <c:pt idx="9">
                  <c:v>4.8785046728971961</c:v>
                </c:pt>
                <c:pt idx="10">
                  <c:v>5.6990394877267869</c:v>
                </c:pt>
                <c:pt idx="11" formatCode="0.00">
                  <c:v>4.095444898941131</c:v>
                </c:pt>
                <c:pt idx="13">
                  <c:v>3.5287902799788693</c:v>
                </c:pt>
                <c:pt idx="14">
                  <c:v>3.75</c:v>
                </c:pt>
                <c:pt idx="15">
                  <c:v>5.2222222222222223</c:v>
                </c:pt>
                <c:pt idx="16">
                  <c:v>5.053763440860215</c:v>
                </c:pt>
                <c:pt idx="17">
                  <c:v>4.838709677419355</c:v>
                </c:pt>
                <c:pt idx="18">
                  <c:v>3.5877192982456143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6B6-6846-B64B-6B8E6049A0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6792480"/>
        <c:axId val="726797264"/>
      </c:scatterChart>
      <c:valAx>
        <c:axId val="7267924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26797264"/>
        <c:crosses val="autoZero"/>
        <c:crossBetween val="midCat"/>
      </c:valAx>
      <c:valAx>
        <c:axId val="726797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267924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Feuil1!$H$70:$H$88</c:f>
              <c:numCache>
                <c:formatCode>General</c:formatCode>
                <c:ptCount val="19"/>
                <c:pt idx="0">
                  <c:v>4.0199999999999996</c:v>
                </c:pt>
                <c:pt idx="1">
                  <c:v>5.39</c:v>
                </c:pt>
                <c:pt idx="2">
                  <c:v>4.12</c:v>
                </c:pt>
                <c:pt idx="3">
                  <c:v>3.39</c:v>
                </c:pt>
                <c:pt idx="4">
                  <c:v>3.48</c:v>
                </c:pt>
                <c:pt idx="6">
                  <c:v>3.7</c:v>
                </c:pt>
                <c:pt idx="7">
                  <c:v>3.16</c:v>
                </c:pt>
                <c:pt idx="8">
                  <c:v>3.23</c:v>
                </c:pt>
                <c:pt idx="9">
                  <c:v>5.22</c:v>
                </c:pt>
                <c:pt idx="10">
                  <c:v>5.34</c:v>
                </c:pt>
                <c:pt idx="11" formatCode="0.00">
                  <c:v>4.1049999999999995</c:v>
                </c:pt>
                <c:pt idx="13">
                  <c:v>3.34</c:v>
                </c:pt>
                <c:pt idx="14">
                  <c:v>3</c:v>
                </c:pt>
                <c:pt idx="15">
                  <c:v>4.7</c:v>
                </c:pt>
                <c:pt idx="16">
                  <c:v>4.7</c:v>
                </c:pt>
                <c:pt idx="17">
                  <c:v>4.5</c:v>
                </c:pt>
                <c:pt idx="18">
                  <c:v>4.09</c:v>
                </c:pt>
              </c:numCache>
            </c:numRef>
          </c:xVal>
          <c:yVal>
            <c:numRef>
              <c:f>Feuil1!$C$70:$C$88</c:f>
              <c:numCache>
                <c:formatCode>General</c:formatCode>
                <c:ptCount val="19"/>
                <c:pt idx="0">
                  <c:v>178</c:v>
                </c:pt>
                <c:pt idx="1">
                  <c:v>202</c:v>
                </c:pt>
                <c:pt idx="2">
                  <c:v>158</c:v>
                </c:pt>
                <c:pt idx="3">
                  <c:v>218</c:v>
                </c:pt>
                <c:pt idx="4">
                  <c:v>183</c:v>
                </c:pt>
                <c:pt idx="5">
                  <c:v>341</c:v>
                </c:pt>
                <c:pt idx="6">
                  <c:v>100</c:v>
                </c:pt>
                <c:pt idx="7">
                  <c:v>123</c:v>
                </c:pt>
                <c:pt idx="8">
                  <c:v>159</c:v>
                </c:pt>
                <c:pt idx="9">
                  <c:v>345</c:v>
                </c:pt>
                <c:pt idx="10">
                  <c:v>108</c:v>
                </c:pt>
                <c:pt idx="11" formatCode="0.00">
                  <c:v>192.27272727272728</c:v>
                </c:pt>
                <c:pt idx="13">
                  <c:v>135.85</c:v>
                </c:pt>
                <c:pt idx="14">
                  <c:v>80</c:v>
                </c:pt>
                <c:pt idx="15">
                  <c:v>315</c:v>
                </c:pt>
                <c:pt idx="16">
                  <c:v>305</c:v>
                </c:pt>
                <c:pt idx="17">
                  <c:v>344</c:v>
                </c:pt>
                <c:pt idx="18">
                  <c:v>252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F4E-4943-8B54-1E3BADD49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6792480"/>
        <c:axId val="726797264"/>
      </c:scatterChart>
      <c:valAx>
        <c:axId val="7267924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26797264"/>
        <c:crosses val="autoZero"/>
        <c:crossBetween val="midCat"/>
      </c:valAx>
      <c:valAx>
        <c:axId val="726797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267924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2540000</xdr:colOff>
      <xdr:row>98</xdr:row>
      <xdr:rowOff>63500</xdr:rowOff>
    </xdr:from>
    <xdr:to>
      <xdr:col>7</xdr:col>
      <xdr:colOff>190500</xdr:colOff>
      <xdr:row>111</xdr:row>
      <xdr:rowOff>165100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9B1C963B-0E15-F57D-86A9-F05D2AAD4ED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800100</xdr:colOff>
      <xdr:row>96</xdr:row>
      <xdr:rowOff>12700</xdr:rowOff>
    </xdr:from>
    <xdr:to>
      <xdr:col>14</xdr:col>
      <xdr:colOff>419100</xdr:colOff>
      <xdr:row>109</xdr:row>
      <xdr:rowOff>114300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9EDEECD0-0874-FD44-8085-211CBF6FC5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78913-87EA-274A-8FA8-56E66EC56464}">
  <dimension ref="A1:Y88"/>
  <sheetViews>
    <sheetView tabSelected="1" workbookViewId="0">
      <selection activeCell="L27" sqref="L27"/>
    </sheetView>
  </sheetViews>
  <sheetFormatPr baseColWidth="10" defaultRowHeight="16" x14ac:dyDescent="0.2"/>
  <cols>
    <col min="1" max="1" width="32" style="13" bestFit="1" customWidth="1"/>
    <col min="2" max="2" width="36.6640625" style="13" customWidth="1"/>
    <col min="3" max="7" width="10.83203125" style="13"/>
    <col min="8" max="8" width="13.1640625" style="13" customWidth="1"/>
    <col min="9" max="16384" width="10.83203125" style="13"/>
  </cols>
  <sheetData>
    <row r="1" spans="1:25" s="24" customFormat="1" x14ac:dyDescent="0.2">
      <c r="A1" s="16" t="s">
        <v>0</v>
      </c>
      <c r="B1" s="17" t="s">
        <v>1</v>
      </c>
      <c r="C1" s="16" t="s">
        <v>2</v>
      </c>
      <c r="D1" s="18" t="s">
        <v>3</v>
      </c>
      <c r="E1" s="18" t="s">
        <v>4</v>
      </c>
      <c r="F1" s="18" t="s">
        <v>5</v>
      </c>
      <c r="G1" s="19" t="s">
        <v>6</v>
      </c>
      <c r="H1" s="19" t="s">
        <v>7</v>
      </c>
      <c r="I1" s="20" t="s">
        <v>8</v>
      </c>
      <c r="J1" s="21" t="s">
        <v>7</v>
      </c>
      <c r="K1" s="21" t="s">
        <v>55</v>
      </c>
      <c r="L1" s="19" t="s">
        <v>9</v>
      </c>
      <c r="M1" s="19" t="s">
        <v>7</v>
      </c>
      <c r="N1" s="22" t="s">
        <v>10</v>
      </c>
      <c r="O1" s="22" t="s">
        <v>11</v>
      </c>
      <c r="P1" s="19" t="s">
        <v>12</v>
      </c>
      <c r="Q1" s="19" t="s">
        <v>11</v>
      </c>
      <c r="R1" s="23" t="s">
        <v>13</v>
      </c>
      <c r="S1" s="19" t="s">
        <v>14</v>
      </c>
      <c r="T1" s="22" t="s">
        <v>15</v>
      </c>
      <c r="U1" s="22" t="s">
        <v>16</v>
      </c>
      <c r="V1" s="23" t="s">
        <v>17</v>
      </c>
      <c r="W1" s="18" t="s">
        <v>14</v>
      </c>
      <c r="X1" s="18" t="s">
        <v>18</v>
      </c>
    </row>
    <row r="2" spans="1:25" s="24" customFormat="1" x14ac:dyDescent="0.2">
      <c r="A2" s="24" t="s">
        <v>19</v>
      </c>
      <c r="B2" s="25" t="s">
        <v>20</v>
      </c>
      <c r="C2" s="26" t="s">
        <v>21</v>
      </c>
      <c r="D2" s="24" t="s">
        <v>22</v>
      </c>
      <c r="E2" s="13" t="s">
        <v>23</v>
      </c>
      <c r="F2" s="24">
        <v>1</v>
      </c>
      <c r="G2" s="27">
        <v>10.8</v>
      </c>
      <c r="H2" s="28"/>
      <c r="I2" s="29"/>
      <c r="J2" s="28"/>
      <c r="K2" s="28"/>
      <c r="L2" s="28"/>
      <c r="M2" s="28"/>
      <c r="N2" s="30"/>
      <c r="O2" s="30"/>
      <c r="P2" s="31">
        <v>2.8</v>
      </c>
      <c r="Q2" s="28"/>
      <c r="R2" s="28"/>
      <c r="S2" s="28"/>
      <c r="T2" s="30"/>
      <c r="U2" s="30"/>
      <c r="V2" s="28"/>
    </row>
    <row r="3" spans="1:25" s="24" customFormat="1" x14ac:dyDescent="0.2">
      <c r="A3" s="24" t="s">
        <v>24</v>
      </c>
      <c r="B3" s="24" t="s">
        <v>25</v>
      </c>
      <c r="C3" s="26" t="s">
        <v>26</v>
      </c>
      <c r="D3" s="13" t="s">
        <v>22</v>
      </c>
      <c r="E3" s="13" t="s">
        <v>23</v>
      </c>
      <c r="F3" s="24">
        <v>1</v>
      </c>
      <c r="G3" s="32">
        <v>14.048999999999999</v>
      </c>
      <c r="H3" s="33">
        <v>0.13500000000000001</v>
      </c>
      <c r="I3" s="29">
        <v>1.5609999999999999</v>
      </c>
      <c r="J3" s="29">
        <v>1.4999999999999999E-2</v>
      </c>
      <c r="K3" s="29">
        <f>1/I3</f>
        <v>0.64061499039077519</v>
      </c>
      <c r="L3" s="33">
        <v>83.9</v>
      </c>
      <c r="M3" s="33">
        <v>2.5</v>
      </c>
      <c r="N3" s="30">
        <v>1.6882826400000002E-4</v>
      </c>
      <c r="O3" s="30">
        <v>3.8940000000000003E-7</v>
      </c>
      <c r="P3" s="34">
        <v>3.52</v>
      </c>
      <c r="Q3" s="34"/>
      <c r="R3" s="28">
        <v>-14.7</v>
      </c>
      <c r="S3" s="28"/>
      <c r="T3" s="30">
        <v>0.14899999999999999</v>
      </c>
      <c r="U3" s="30"/>
      <c r="V3" s="28">
        <v>44.1</v>
      </c>
    </row>
    <row r="4" spans="1:25" s="24" customFormat="1" x14ac:dyDescent="0.2">
      <c r="A4" s="24" t="s">
        <v>24</v>
      </c>
      <c r="B4" s="24" t="s">
        <v>25</v>
      </c>
      <c r="C4" s="26" t="s">
        <v>27</v>
      </c>
      <c r="D4" s="13" t="s">
        <v>22</v>
      </c>
      <c r="E4" s="13" t="s">
        <v>23</v>
      </c>
      <c r="F4" s="24">
        <v>1</v>
      </c>
      <c r="G4" s="32">
        <v>14.076000000000001</v>
      </c>
      <c r="H4" s="33">
        <v>0.17099999999999999</v>
      </c>
      <c r="I4" s="29">
        <v>1.5640000000000001</v>
      </c>
      <c r="J4" s="29">
        <v>1.9E-2</v>
      </c>
      <c r="K4" s="29">
        <f t="shared" ref="K4:K27" si="0">1/I4</f>
        <v>0.63938618925831203</v>
      </c>
      <c r="L4" s="33">
        <v>70.7</v>
      </c>
      <c r="M4" s="33">
        <v>1.1000000000000001</v>
      </c>
      <c r="N4" s="30">
        <v>1.66772232E-4</v>
      </c>
      <c r="O4" s="30">
        <v>1.7133600000000002E-7</v>
      </c>
      <c r="P4" s="34">
        <v>3.92</v>
      </c>
      <c r="Q4" s="34"/>
      <c r="R4" s="28">
        <v>-11</v>
      </c>
      <c r="S4" s="28"/>
      <c r="T4" s="30">
        <v>0.20799999999999999</v>
      </c>
      <c r="U4" s="30"/>
      <c r="V4" s="28">
        <v>35.9</v>
      </c>
    </row>
    <row r="5" spans="1:25" s="24" customFormat="1" x14ac:dyDescent="0.2">
      <c r="A5" s="24" t="s">
        <v>28</v>
      </c>
      <c r="B5" s="24" t="s">
        <v>29</v>
      </c>
      <c r="C5" s="35" t="s">
        <v>30</v>
      </c>
      <c r="D5" s="24" t="s">
        <v>22</v>
      </c>
      <c r="E5" s="24" t="s">
        <v>23</v>
      </c>
      <c r="F5" s="24">
        <v>1</v>
      </c>
      <c r="G5" s="32">
        <f>(2860)/10000*(15.9997+2*1.00794)</f>
        <v>5.1524558799999998</v>
      </c>
      <c r="H5" s="33"/>
      <c r="I5" s="29">
        <f>G5/9</f>
        <v>0.57249509777777774</v>
      </c>
      <c r="J5" s="28"/>
      <c r="K5" s="29">
        <f t="shared" si="0"/>
        <v>1.7467398478723122</v>
      </c>
      <c r="L5" s="28">
        <v>170</v>
      </c>
      <c r="M5" s="28"/>
      <c r="N5" s="30">
        <f>(L5/1000+1)*0.00015576</f>
        <v>1.8223920000000002E-4</v>
      </c>
      <c r="O5" s="30"/>
      <c r="P5" s="30">
        <f>(27070+114)*0.0001</f>
        <v>2.7183999999999999</v>
      </c>
      <c r="Q5" s="28"/>
      <c r="R5" s="33">
        <f>-15.6</f>
        <v>-15.6</v>
      </c>
      <c r="S5" s="28"/>
      <c r="T5" s="30">
        <v>0.13600000000000001</v>
      </c>
      <c r="U5" s="30"/>
      <c r="V5" s="28">
        <v>39</v>
      </c>
    </row>
    <row r="6" spans="1:25" s="24" customFormat="1" x14ac:dyDescent="0.2">
      <c r="A6" s="24" t="s">
        <v>31</v>
      </c>
      <c r="B6" s="24" t="s">
        <v>32</v>
      </c>
      <c r="C6" s="35" t="s">
        <v>30</v>
      </c>
      <c r="D6" s="24" t="s">
        <v>22</v>
      </c>
      <c r="E6" s="24" t="s">
        <v>23</v>
      </c>
      <c r="F6" s="24">
        <v>1</v>
      </c>
      <c r="G6" s="27">
        <f>(1810)/10000*(15.9997+2*1.00794)</f>
        <v>3.26081998</v>
      </c>
      <c r="H6" s="28"/>
      <c r="I6" s="29">
        <f>G6/9</f>
        <v>0.36231333111111108</v>
      </c>
      <c r="J6" s="28"/>
      <c r="K6" s="29">
        <f t="shared" si="0"/>
        <v>2.7600419695661951</v>
      </c>
      <c r="L6" s="28">
        <v>223</v>
      </c>
      <c r="M6" s="28"/>
      <c r="N6" s="30">
        <f>(L6/1000+1)*0.00015576</f>
        <v>1.9049448000000004E-4</v>
      </c>
      <c r="O6" s="30"/>
      <c r="P6" s="28">
        <f>(2.6+23)/10</f>
        <v>2.56</v>
      </c>
      <c r="Q6" s="28"/>
      <c r="R6" s="28">
        <v>-15.4</v>
      </c>
      <c r="S6" s="28"/>
      <c r="T6" s="30" t="s">
        <v>33</v>
      </c>
      <c r="U6" s="30"/>
      <c r="V6" s="28" t="s">
        <v>33</v>
      </c>
    </row>
    <row r="7" spans="1:25" s="24" customFormat="1" x14ac:dyDescent="0.2">
      <c r="A7" s="24" t="s">
        <v>34</v>
      </c>
      <c r="B7" s="24" t="s">
        <v>35</v>
      </c>
      <c r="C7" s="35" t="s">
        <v>30</v>
      </c>
      <c r="D7" s="24" t="s">
        <v>22</v>
      </c>
      <c r="E7" s="24" t="s">
        <v>23</v>
      </c>
      <c r="F7" s="24">
        <v>1</v>
      </c>
      <c r="G7" s="27">
        <f>(1475+3057)/10000*(15.9997+2*1.00794)</f>
        <v>8.1646608559999994</v>
      </c>
      <c r="H7" s="28"/>
      <c r="I7" s="29">
        <f>G7/9</f>
        <v>0.90718453955555545</v>
      </c>
      <c r="J7" s="28"/>
      <c r="K7" s="29">
        <f t="shared" si="0"/>
        <v>1.1023115544825273</v>
      </c>
      <c r="L7" s="33">
        <f>(3057*225+1475*-17)/(3057+1475)</f>
        <v>146.23786407766991</v>
      </c>
      <c r="M7" s="28"/>
      <c r="N7" s="30">
        <f>(L7/1000+1)*0.00015576</f>
        <v>1.7853800970873789E-4</v>
      </c>
      <c r="O7" s="30"/>
      <c r="P7" s="28"/>
      <c r="Q7" s="28"/>
      <c r="R7" s="28"/>
      <c r="S7" s="28"/>
      <c r="T7" s="30"/>
      <c r="U7" s="30"/>
      <c r="V7" s="28"/>
    </row>
    <row r="8" spans="1:25" s="24" customFormat="1" x14ac:dyDescent="0.2">
      <c r="A8" s="24" t="s">
        <v>36</v>
      </c>
      <c r="C8" s="26" t="s">
        <v>30</v>
      </c>
      <c r="D8" s="24" t="s">
        <v>22</v>
      </c>
      <c r="E8" s="24" t="s">
        <v>23</v>
      </c>
      <c r="F8" s="24">
        <v>1</v>
      </c>
      <c r="G8" s="27">
        <f>I8*9</f>
        <v>7.2900000000000009</v>
      </c>
      <c r="H8" s="28"/>
      <c r="I8" s="29">
        <v>0.81</v>
      </c>
      <c r="J8" s="28"/>
      <c r="K8" s="29">
        <f t="shared" si="0"/>
        <v>1.2345679012345678</v>
      </c>
      <c r="L8" s="34">
        <v>235</v>
      </c>
      <c r="M8" s="28"/>
      <c r="N8" s="30">
        <f>(L8/1000+1)*0.00015576</f>
        <v>1.9236359999999999E-4</v>
      </c>
      <c r="O8" s="30"/>
      <c r="P8" s="34">
        <v>2.8</v>
      </c>
      <c r="Q8" s="28"/>
      <c r="R8" s="28">
        <v>-11.4</v>
      </c>
      <c r="S8" s="28"/>
      <c r="T8" s="30" t="s">
        <v>37</v>
      </c>
      <c r="U8" s="30"/>
      <c r="V8" s="28" t="s">
        <v>37</v>
      </c>
    </row>
    <row r="9" spans="1:25" s="24" customFormat="1" x14ac:dyDescent="0.2">
      <c r="A9" s="24" t="s">
        <v>38</v>
      </c>
      <c r="B9" s="24" t="s">
        <v>39</v>
      </c>
      <c r="C9" s="26" t="s">
        <v>30</v>
      </c>
      <c r="D9" s="24" t="s">
        <v>22</v>
      </c>
      <c r="E9" s="24" t="s">
        <v>23</v>
      </c>
      <c r="F9" s="24">
        <v>1</v>
      </c>
      <c r="G9" s="27">
        <f>I9*9</f>
        <v>14.580000000000002</v>
      </c>
      <c r="H9" s="29">
        <f>J9*9</f>
        <v>0.72</v>
      </c>
      <c r="I9" s="29">
        <v>1.62</v>
      </c>
      <c r="J9" s="28">
        <v>0.08</v>
      </c>
      <c r="K9" s="29">
        <f t="shared" si="0"/>
        <v>0.61728395061728392</v>
      </c>
      <c r="L9" s="28">
        <v>-30.16</v>
      </c>
      <c r="M9" s="29">
        <v>2.14</v>
      </c>
      <c r="N9" s="30">
        <f>(L9/1000+1)*0.00015576</f>
        <v>1.5106227840000001E-4</v>
      </c>
      <c r="O9" s="30">
        <f>(M9/1000)*0.00015576</f>
        <v>3.333264E-7</v>
      </c>
      <c r="P9" s="28"/>
      <c r="Q9" s="28"/>
      <c r="R9" s="28"/>
      <c r="S9" s="28"/>
      <c r="T9" s="30"/>
      <c r="U9" s="30"/>
      <c r="V9" s="28"/>
    </row>
    <row r="10" spans="1:25" s="24" customFormat="1" x14ac:dyDescent="0.2">
      <c r="A10" s="36" t="s">
        <v>40</v>
      </c>
      <c r="B10" s="36" t="s">
        <v>41</v>
      </c>
      <c r="C10" s="37" t="s">
        <v>30</v>
      </c>
      <c r="E10" s="36" t="s">
        <v>23</v>
      </c>
      <c r="F10" s="38">
        <v>1</v>
      </c>
      <c r="G10" s="39">
        <f>I10*9</f>
        <v>8.370000000000001</v>
      </c>
      <c r="H10" s="40">
        <f>J10*9</f>
        <v>0.40499999999999997</v>
      </c>
      <c r="I10" s="31">
        <v>0.93</v>
      </c>
      <c r="J10" s="28">
        <v>4.4999999999999998E-2</v>
      </c>
      <c r="K10" s="29">
        <f t="shared" si="0"/>
        <v>1.075268817204301</v>
      </c>
      <c r="L10" s="28">
        <v>138</v>
      </c>
      <c r="M10" s="28">
        <v>2</v>
      </c>
      <c r="N10" s="30">
        <v>1.7699999999999999E-4</v>
      </c>
      <c r="O10" s="30">
        <v>2.9999999999999999E-7</v>
      </c>
      <c r="P10" s="28">
        <v>3.35</v>
      </c>
      <c r="Q10" s="28">
        <v>7.0000000000000007E-2</v>
      </c>
      <c r="R10" s="28">
        <v>-12.9</v>
      </c>
      <c r="S10" s="28">
        <v>0.2</v>
      </c>
      <c r="T10" s="30">
        <v>0.20499999999999999</v>
      </c>
      <c r="U10" s="30">
        <v>6.2E-2</v>
      </c>
      <c r="V10" s="41" t="s">
        <v>37</v>
      </c>
    </row>
    <row r="11" spans="1:25" s="42" customFormat="1" x14ac:dyDescent="0.2">
      <c r="C11" s="43" t="s">
        <v>42</v>
      </c>
      <c r="F11" s="44"/>
      <c r="G11" s="45">
        <f>AVERAGE(G2:G10)</f>
        <v>9.5269929684444445</v>
      </c>
      <c r="H11" s="45">
        <f>STDEV(G2:G10)</f>
        <v>4.1063313499354788</v>
      </c>
      <c r="I11" s="45">
        <f>AVERAGE(I2:I10)</f>
        <v>1.0408741210555557</v>
      </c>
      <c r="J11" s="45">
        <f>STDEV(I2:I10)</f>
        <v>0.48445416835026656</v>
      </c>
      <c r="K11" s="29">
        <f t="shared" si="0"/>
        <v>0.96073096618628095</v>
      </c>
      <c r="L11" s="45">
        <f>AVERAGE(L2:L10)</f>
        <v>129.58473300970874</v>
      </c>
      <c r="M11" s="45">
        <f>STDEV(L2:L10)</f>
        <v>86.926253026359788</v>
      </c>
      <c r="N11" s="45">
        <f>AVERAGE(N2:N10)</f>
        <v>1.7591225801359228E-4</v>
      </c>
      <c r="O11" s="45">
        <f>STDEV(N2:N10)</f>
        <v>1.353640770144008E-5</v>
      </c>
      <c r="P11" s="45">
        <f>AVERAGE(P2:P10)</f>
        <v>3.0954857142857146</v>
      </c>
      <c r="Q11" s="45">
        <f>STDEV(P2:P10)</f>
        <v>0.50470716073306965</v>
      </c>
      <c r="R11" s="45">
        <f>AVERAGE(R2:R10)</f>
        <v>-13.5</v>
      </c>
      <c r="S11" s="45">
        <f>STDEV(R2:R10)</f>
        <v>2.0238577025077635</v>
      </c>
      <c r="T11" s="45">
        <f>AVERAGE(T2:T10)</f>
        <v>0.17449999999999999</v>
      </c>
      <c r="U11" s="45">
        <f>STDEV(T2:T10)</f>
        <v>3.7349698793966234E-2</v>
      </c>
      <c r="V11" s="45">
        <f>AVERAGE(V2:V10)</f>
        <v>39.666666666666664</v>
      </c>
      <c r="W11" s="45">
        <f>STDEV(V2:V10)</f>
        <v>4.140450861118067</v>
      </c>
      <c r="Y11" s="46"/>
    </row>
    <row r="12" spans="1:25" s="24" customFormat="1" x14ac:dyDescent="0.2">
      <c r="A12" s="24" t="s">
        <v>24</v>
      </c>
      <c r="B12" s="24" t="s">
        <v>25</v>
      </c>
      <c r="C12" s="47" t="s">
        <v>43</v>
      </c>
      <c r="D12" s="13" t="s">
        <v>22</v>
      </c>
      <c r="E12" s="13" t="s">
        <v>23</v>
      </c>
      <c r="F12" s="24">
        <v>1</v>
      </c>
      <c r="G12" s="48">
        <v>13.716000000000001</v>
      </c>
      <c r="H12" s="33">
        <v>0.84599999999999997</v>
      </c>
      <c r="I12" s="29">
        <v>1.524</v>
      </c>
      <c r="J12" s="29">
        <v>9.4E-2</v>
      </c>
      <c r="K12" s="29">
        <f t="shared" si="0"/>
        <v>0.65616797900262469</v>
      </c>
      <c r="L12" s="33">
        <v>79.5</v>
      </c>
      <c r="M12" s="33">
        <v>0.3</v>
      </c>
      <c r="N12" s="30">
        <v>1.6814291999999999E-4</v>
      </c>
      <c r="O12" s="30">
        <v>4.6728E-8</v>
      </c>
      <c r="P12" s="34">
        <v>3.5</v>
      </c>
      <c r="Q12" s="34"/>
      <c r="R12" s="28">
        <v>-4.3</v>
      </c>
      <c r="S12" s="28"/>
      <c r="T12" s="30">
        <v>0.20699999999999999</v>
      </c>
      <c r="U12" s="30"/>
      <c r="V12" s="28">
        <v>44.9</v>
      </c>
    </row>
    <row r="13" spans="1:25" s="24" customFormat="1" x14ac:dyDescent="0.2">
      <c r="A13" s="24" t="s">
        <v>44</v>
      </c>
      <c r="B13" s="24" t="s">
        <v>45</v>
      </c>
      <c r="C13" s="47" t="s">
        <v>43</v>
      </c>
      <c r="D13" s="24" t="s">
        <v>22</v>
      </c>
      <c r="E13" s="24" t="s">
        <v>23</v>
      </c>
      <c r="F13" s="24">
        <v>1</v>
      </c>
      <c r="G13" s="49">
        <f>I13*9</f>
        <v>5.976</v>
      </c>
      <c r="H13" s="28"/>
      <c r="I13" s="29">
        <v>0.66400000000000003</v>
      </c>
      <c r="J13" s="29"/>
      <c r="K13" s="29">
        <f t="shared" si="0"/>
        <v>1.506024096385542</v>
      </c>
      <c r="L13" s="34">
        <v>210</v>
      </c>
      <c r="M13" s="28"/>
      <c r="N13" s="30">
        <f>(L13/1000+1)*0.00015576</f>
        <v>1.8846960000000002E-4</v>
      </c>
      <c r="O13" s="30"/>
      <c r="P13" s="34">
        <v>3.7</v>
      </c>
      <c r="Q13" s="28"/>
      <c r="R13" s="28">
        <v>-9.4</v>
      </c>
      <c r="S13" s="28"/>
      <c r="T13" s="30">
        <v>0.1855</v>
      </c>
      <c r="U13" s="30"/>
      <c r="V13" s="28">
        <v>52</v>
      </c>
    </row>
    <row r="14" spans="1:25" s="24" customFormat="1" x14ac:dyDescent="0.2">
      <c r="A14" s="24" t="s">
        <v>36</v>
      </c>
      <c r="C14" s="47" t="s">
        <v>43</v>
      </c>
      <c r="D14" s="24" t="s">
        <v>22</v>
      </c>
      <c r="E14" s="24" t="s">
        <v>23</v>
      </c>
      <c r="F14" s="24">
        <v>1</v>
      </c>
      <c r="G14" s="49">
        <f>I14*9</f>
        <v>7.0200000000000005</v>
      </c>
      <c r="H14" s="28"/>
      <c r="I14" s="29">
        <v>0.78</v>
      </c>
      <c r="J14" s="29"/>
      <c r="K14" s="29">
        <f t="shared" si="0"/>
        <v>1.2820512820512819</v>
      </c>
      <c r="L14" s="34">
        <v>300</v>
      </c>
      <c r="M14" s="28"/>
      <c r="N14" s="30">
        <f>(L14/1000+1)*0.00015576</f>
        <v>2.0248800000000002E-4</v>
      </c>
      <c r="O14" s="30"/>
      <c r="P14" s="34">
        <v>3.3</v>
      </c>
      <c r="Q14" s="28"/>
      <c r="R14" s="34">
        <v>-6.6</v>
      </c>
      <c r="S14" s="28"/>
      <c r="T14" s="30" t="s">
        <v>37</v>
      </c>
      <c r="U14" s="30"/>
      <c r="V14" s="28" t="s">
        <v>37</v>
      </c>
    </row>
    <row r="15" spans="1:25" s="24" customFormat="1" x14ac:dyDescent="0.2">
      <c r="A15" s="24" t="s">
        <v>38</v>
      </c>
      <c r="B15" s="24" t="s">
        <v>46</v>
      </c>
      <c r="C15" s="47" t="s">
        <v>43</v>
      </c>
      <c r="D15" s="24" t="s">
        <v>22</v>
      </c>
      <c r="E15" s="24" t="s">
        <v>23</v>
      </c>
      <c r="F15" s="24">
        <v>1</v>
      </c>
      <c r="G15" s="49">
        <f>I15*9</f>
        <v>15.75</v>
      </c>
      <c r="H15" s="29">
        <f>J15*9</f>
        <v>1.44</v>
      </c>
      <c r="I15" s="29">
        <v>1.75</v>
      </c>
      <c r="J15" s="28">
        <v>0.16</v>
      </c>
      <c r="K15" s="29">
        <f t="shared" si="0"/>
        <v>0.5714285714285714</v>
      </c>
      <c r="L15" s="28">
        <v>53.3</v>
      </c>
      <c r="M15" s="29">
        <v>8.44</v>
      </c>
      <c r="N15" s="30">
        <f>(L15/1000+1)*0.00015576</f>
        <v>1.64062008E-4</v>
      </c>
      <c r="O15" s="30">
        <f>(M15/1000)*0.00015576</f>
        <v>1.3146144E-6</v>
      </c>
      <c r="P15" s="28"/>
      <c r="Q15" s="28"/>
      <c r="R15" s="28"/>
      <c r="S15" s="28"/>
      <c r="T15" s="30"/>
      <c r="U15" s="30"/>
      <c r="V15" s="28"/>
    </row>
    <row r="16" spans="1:25" s="24" customFormat="1" x14ac:dyDescent="0.2">
      <c r="A16" s="24" t="s">
        <v>34</v>
      </c>
      <c r="B16" s="24" t="s">
        <v>35</v>
      </c>
      <c r="C16" s="47" t="s">
        <v>43</v>
      </c>
      <c r="D16" s="24" t="s">
        <v>22</v>
      </c>
      <c r="E16" s="24" t="s">
        <v>23</v>
      </c>
      <c r="F16" s="24">
        <v>1</v>
      </c>
      <c r="G16" s="49">
        <f>(4080+182)/10000*(15.9997+2*1.00794)</f>
        <v>7.678240196</v>
      </c>
      <c r="H16" s="28"/>
      <c r="I16" s="29">
        <f>G16/9</f>
        <v>0.85313779955555558</v>
      </c>
      <c r="J16" s="28"/>
      <c r="K16" s="29">
        <f t="shared" si="0"/>
        <v>1.1721435863244516</v>
      </c>
      <c r="L16" s="33">
        <f>(4080*182+2560*20)/(4080+182)</f>
        <v>186.24120131393713</v>
      </c>
      <c r="M16" s="28"/>
      <c r="N16" s="30">
        <f>(L16/1000+1)*0.00015576</f>
        <v>1.8476892951665888E-4</v>
      </c>
      <c r="O16" s="30"/>
      <c r="P16" s="28"/>
      <c r="Q16" s="28"/>
      <c r="R16" s="28"/>
      <c r="S16" s="28"/>
      <c r="T16" s="30"/>
      <c r="U16" s="30"/>
      <c r="V16" s="28"/>
    </row>
    <row r="17" spans="1:25" s="50" customFormat="1" x14ac:dyDescent="0.2">
      <c r="C17" s="51" t="s">
        <v>47</v>
      </c>
      <c r="F17" s="52"/>
      <c r="G17" s="53">
        <f>AVERAGE(G12:G16)</f>
        <v>10.0280480392</v>
      </c>
      <c r="H17" s="53">
        <f>STDEV(G12:G16)</f>
        <v>4.3968956982442551</v>
      </c>
      <c r="I17" s="53">
        <f>AVERAGE(I12:I16)</f>
        <v>1.1142275599111111</v>
      </c>
      <c r="J17" s="53">
        <f>STDEV(I12:I16)</f>
        <v>0.48854396647158388</v>
      </c>
      <c r="K17" s="29">
        <f t="shared" si="0"/>
        <v>0.89748273690140656</v>
      </c>
      <c r="L17" s="53">
        <f>AVERAGE(L12:L16)</f>
        <v>165.80824026278742</v>
      </c>
      <c r="M17" s="53">
        <f>STDEV(L12:L16)</f>
        <v>100.60450085812175</v>
      </c>
      <c r="N17" s="54">
        <f>AVERAGE(N12:N16)</f>
        <v>1.8158629150333175E-4</v>
      </c>
      <c r="O17" s="54">
        <f>STDEV(N12:N16)</f>
        <v>1.5670157053661052E-5</v>
      </c>
      <c r="P17" s="53">
        <f>AVERAGE(P12:P16)</f>
        <v>3.5</v>
      </c>
      <c r="Q17" s="53">
        <f>STDEV(P12:P16)</f>
        <v>0.20000000000000018</v>
      </c>
      <c r="R17" s="53">
        <f>AVERAGE(R12:R16)</f>
        <v>-6.7666666666666657</v>
      </c>
      <c r="S17" s="53">
        <f>STDEV(R12:R16)</f>
        <v>2.5540817005987404</v>
      </c>
      <c r="T17" s="54">
        <f>AVERAGE(T12:T16)</f>
        <v>0.19624999999999998</v>
      </c>
      <c r="U17" s="54">
        <f>STDEV(T12:T16)</f>
        <v>1.5202795795510765E-2</v>
      </c>
      <c r="V17" s="53">
        <f>AVERAGE(V12:V16)</f>
        <v>48.45</v>
      </c>
      <c r="W17" s="53">
        <f>STDEV(V12:V16)</f>
        <v>5.0204581464244891</v>
      </c>
      <c r="Y17" s="55"/>
    </row>
    <row r="18" spans="1:25" s="24" customFormat="1" x14ac:dyDescent="0.2">
      <c r="A18" s="24" t="s">
        <v>38</v>
      </c>
      <c r="B18" s="24" t="s">
        <v>48</v>
      </c>
      <c r="C18" s="56" t="s">
        <v>49</v>
      </c>
      <c r="D18" s="24" t="s">
        <v>22</v>
      </c>
      <c r="E18" s="24" t="s">
        <v>23</v>
      </c>
      <c r="F18" s="24">
        <v>1</v>
      </c>
      <c r="G18" s="57">
        <f>I18*9</f>
        <v>15.39</v>
      </c>
      <c r="H18" s="29">
        <f>J18*9</f>
        <v>1.3499999999999999</v>
      </c>
      <c r="I18" s="29">
        <v>1.71</v>
      </c>
      <c r="J18" s="28">
        <v>0.15</v>
      </c>
      <c r="K18" s="29">
        <f t="shared" si="0"/>
        <v>0.58479532163742687</v>
      </c>
      <c r="L18" s="28">
        <v>20.73</v>
      </c>
      <c r="M18" s="29">
        <v>6.53</v>
      </c>
      <c r="N18" s="30">
        <f>(L18/1000+1)*0.00015576</f>
        <v>1.589889048E-4</v>
      </c>
      <c r="O18" s="30">
        <f>(M18/1000)*0.00015576</f>
        <v>1.0171128E-6</v>
      </c>
      <c r="P18" s="28"/>
      <c r="Q18" s="28"/>
      <c r="R18" s="28"/>
      <c r="S18" s="28"/>
      <c r="T18" s="30"/>
      <c r="U18" s="30"/>
      <c r="V18" s="28"/>
    </row>
    <row r="19" spans="1:25" s="24" customFormat="1" x14ac:dyDescent="0.2">
      <c r="A19" s="24" t="s">
        <v>44</v>
      </c>
      <c r="B19" s="24" t="s">
        <v>45</v>
      </c>
      <c r="C19" s="56" t="s">
        <v>49</v>
      </c>
      <c r="D19" s="24" t="s">
        <v>22</v>
      </c>
      <c r="E19" s="24" t="s">
        <v>23</v>
      </c>
      <c r="F19" s="24">
        <v>1</v>
      </c>
      <c r="G19" s="57">
        <f>I19*9</f>
        <v>5.2829999999999995</v>
      </c>
      <c r="H19" s="28"/>
      <c r="I19" s="29">
        <v>0.58699999999999997</v>
      </c>
      <c r="J19" s="29"/>
      <c r="K19" s="29">
        <f t="shared" si="0"/>
        <v>1.7035775127768313</v>
      </c>
      <c r="L19" s="34">
        <v>44</v>
      </c>
      <c r="M19" s="28"/>
      <c r="N19" s="30">
        <f>(L19/1000+1)*0.00015576</f>
        <v>1.6261344000000001E-4</v>
      </c>
      <c r="O19" s="30"/>
      <c r="P19" s="34">
        <v>4.46</v>
      </c>
      <c r="Q19" s="28"/>
      <c r="R19" s="34">
        <v>-10.3</v>
      </c>
      <c r="S19" s="28"/>
      <c r="T19" s="30">
        <v>0.125</v>
      </c>
      <c r="U19" s="30"/>
      <c r="V19" s="28">
        <v>31</v>
      </c>
    </row>
    <row r="20" spans="1:25" s="58" customFormat="1" x14ac:dyDescent="0.2">
      <c r="A20" s="36" t="s">
        <v>50</v>
      </c>
      <c r="B20" s="58" t="s">
        <v>41</v>
      </c>
      <c r="C20" s="56" t="s">
        <v>49</v>
      </c>
      <c r="D20" s="58" t="s">
        <v>22</v>
      </c>
      <c r="E20" s="58" t="s">
        <v>23</v>
      </c>
      <c r="F20" s="59">
        <v>1</v>
      </c>
      <c r="G20" s="60">
        <f>I20*9</f>
        <v>8.6669999999999998</v>
      </c>
      <c r="H20" s="61">
        <f>J20*9</f>
        <v>0.432</v>
      </c>
      <c r="I20" s="61">
        <v>0.96299999999999997</v>
      </c>
      <c r="J20" s="62">
        <v>4.8000000000000001E-2</v>
      </c>
      <c r="K20" s="29">
        <f t="shared" si="0"/>
        <v>1.0384215991692627</v>
      </c>
      <c r="L20" s="62">
        <v>133.69999999999999</v>
      </c>
      <c r="M20" s="62">
        <v>2</v>
      </c>
      <c r="N20" s="63">
        <f>(L20/1000+1)*0.00015576</f>
        <v>1.76585112E-4</v>
      </c>
      <c r="O20" s="63">
        <f>(M20/1000+1)*0.00015576</f>
        <v>1.5607152000000001E-4</v>
      </c>
      <c r="P20" s="62">
        <v>3.33</v>
      </c>
      <c r="Q20" s="62">
        <v>7.0000000000000007E-2</v>
      </c>
      <c r="R20" s="62">
        <v>-15.9</v>
      </c>
      <c r="S20" s="62">
        <v>0.2</v>
      </c>
      <c r="T20" s="63">
        <v>0.17299999999999999</v>
      </c>
      <c r="U20" s="63">
        <v>5.1999999999999998E-2</v>
      </c>
      <c r="V20" s="62" t="s">
        <v>37</v>
      </c>
    </row>
    <row r="21" spans="1:25" s="64" customFormat="1" x14ac:dyDescent="0.2">
      <c r="C21" s="65" t="s">
        <v>51</v>
      </c>
      <c r="F21" s="66"/>
      <c r="G21" s="67">
        <f>AVERAGE(G18:G20)</f>
        <v>9.7800000000000011</v>
      </c>
      <c r="H21" s="67">
        <f>STDEV(G18:G20)</f>
        <v>5.1446029001274693</v>
      </c>
      <c r="I21" s="67">
        <f>AVERAGE(I18:I20)</f>
        <v>1.0866666666666667</v>
      </c>
      <c r="J21" s="67">
        <f>STDEV(I18:I20)</f>
        <v>0.57162254445860805</v>
      </c>
      <c r="K21" s="29">
        <f t="shared" si="0"/>
        <v>0.92024539877300615</v>
      </c>
      <c r="L21" s="67">
        <f>AVERAGE(L18:L20)</f>
        <v>66.143333333333331</v>
      </c>
      <c r="M21" s="67">
        <f>STDEV(L18:L20)</f>
        <v>59.651493135824616</v>
      </c>
      <c r="N21" s="68">
        <f>AVERAGE(N18:N20)</f>
        <v>1.6606248560000001E-4</v>
      </c>
      <c r="O21" s="68">
        <f>STDEV(N18:N20)</f>
        <v>9.2913165708360461E-6</v>
      </c>
      <c r="P21" s="67">
        <f>AVERAGE(P18:P20)</f>
        <v>3.895</v>
      </c>
      <c r="Q21" s="67">
        <f>STDEV(P18:P20)</f>
        <v>0.79903066274079804</v>
      </c>
      <c r="R21" s="67">
        <f>AVERAGE(R18:R20)</f>
        <v>-13.100000000000001</v>
      </c>
      <c r="S21" s="67">
        <f>STDEV(R18:R20)</f>
        <v>3.9597979746446597</v>
      </c>
      <c r="T21" s="68">
        <f>AVERAGE(T18:T20)</f>
        <v>0.14899999999999999</v>
      </c>
      <c r="U21" s="68">
        <f>STDEV(T18:T20)</f>
        <v>3.3941125496954286E-2</v>
      </c>
      <c r="V21" s="67"/>
      <c r="W21" s="67"/>
      <c r="Y21" s="69"/>
    </row>
    <row r="22" spans="1:25" s="24" customFormat="1" x14ac:dyDescent="0.2">
      <c r="A22" s="36" t="s">
        <v>50</v>
      </c>
      <c r="B22" s="36" t="s">
        <v>41</v>
      </c>
      <c r="C22" s="70" t="s">
        <v>52</v>
      </c>
      <c r="D22" s="24" t="s">
        <v>22</v>
      </c>
      <c r="E22" s="36" t="s">
        <v>23</v>
      </c>
      <c r="F22" s="38">
        <v>1</v>
      </c>
      <c r="G22" s="71">
        <f>I22*9</f>
        <v>6.39</v>
      </c>
      <c r="H22" s="40">
        <f>J22*9</f>
        <v>0.36899999999999999</v>
      </c>
      <c r="I22" s="31">
        <v>0.71</v>
      </c>
      <c r="J22" s="28">
        <v>4.1000000000000002E-2</v>
      </c>
      <c r="K22" s="29">
        <f t="shared" si="0"/>
        <v>1.4084507042253522</v>
      </c>
      <c r="L22" s="28">
        <v>-106</v>
      </c>
      <c r="M22" s="28">
        <v>2</v>
      </c>
      <c r="N22" s="30">
        <f>(L22/1000+1)*0.00015576</f>
        <v>1.3924944000000001E-4</v>
      </c>
      <c r="O22" s="30">
        <f>(M22/1000+1)*0.00015576</f>
        <v>1.5607152000000001E-4</v>
      </c>
      <c r="P22" s="28">
        <v>3.06</v>
      </c>
      <c r="Q22" s="28">
        <v>0.06</v>
      </c>
      <c r="R22" s="28">
        <v>-12.9</v>
      </c>
      <c r="S22" s="28">
        <v>0.2</v>
      </c>
      <c r="T22" s="30">
        <v>0.09</v>
      </c>
      <c r="U22" s="30">
        <v>0.09</v>
      </c>
      <c r="V22" s="41" t="s">
        <v>37</v>
      </c>
    </row>
    <row r="23" spans="1:25" x14ac:dyDescent="0.2">
      <c r="A23" s="13" t="s">
        <v>53</v>
      </c>
      <c r="B23" s="36" t="s">
        <v>41</v>
      </c>
      <c r="I23" s="13">
        <v>0.8</v>
      </c>
      <c r="K23" s="29">
        <f>1/I23</f>
        <v>1.25</v>
      </c>
      <c r="L23" s="13">
        <v>80</v>
      </c>
    </row>
    <row r="24" spans="1:25" x14ac:dyDescent="0.2">
      <c r="A24" s="13" t="s">
        <v>62</v>
      </c>
      <c r="I24" s="13">
        <v>1.1399999999999999</v>
      </c>
      <c r="J24" s="13">
        <v>0.09</v>
      </c>
      <c r="K24" s="29">
        <f t="shared" si="0"/>
        <v>0.87719298245614041</v>
      </c>
      <c r="L24" s="13">
        <v>252</v>
      </c>
      <c r="M24" s="13">
        <v>13</v>
      </c>
    </row>
    <row r="25" spans="1:25" x14ac:dyDescent="0.2">
      <c r="A25" s="13" t="s">
        <v>65</v>
      </c>
      <c r="I25" s="13">
        <v>0.9</v>
      </c>
      <c r="J25" s="13">
        <v>0.04</v>
      </c>
      <c r="K25" s="29">
        <f t="shared" si="0"/>
        <v>1.1111111111111112</v>
      </c>
      <c r="L25" s="13">
        <v>315</v>
      </c>
      <c r="M25" s="13">
        <v>2</v>
      </c>
    </row>
    <row r="26" spans="1:25" x14ac:dyDescent="0.2">
      <c r="I26" s="13">
        <v>0.93</v>
      </c>
      <c r="J26" s="13">
        <v>0.05</v>
      </c>
      <c r="K26" s="29">
        <f t="shared" si="0"/>
        <v>1.075268817204301</v>
      </c>
      <c r="L26" s="13">
        <v>305</v>
      </c>
      <c r="M26" s="13">
        <v>2</v>
      </c>
    </row>
    <row r="27" spans="1:25" x14ac:dyDescent="0.2">
      <c r="I27" s="13">
        <v>0.93</v>
      </c>
      <c r="J27" s="13">
        <v>0.01</v>
      </c>
      <c r="K27" s="29">
        <f t="shared" si="0"/>
        <v>1.075268817204301</v>
      </c>
      <c r="L27" s="13">
        <v>344</v>
      </c>
      <c r="M27" s="13">
        <v>13</v>
      </c>
      <c r="O27" s="72"/>
    </row>
    <row r="28" spans="1:25" x14ac:dyDescent="0.2">
      <c r="O28" s="72"/>
    </row>
    <row r="30" spans="1:25" x14ac:dyDescent="0.2">
      <c r="E30" s="14"/>
      <c r="F30" s="14"/>
      <c r="G30" s="14"/>
    </row>
    <row r="31" spans="1:25" x14ac:dyDescent="0.2">
      <c r="E31" s="14"/>
      <c r="F31" s="14"/>
      <c r="G31" s="14"/>
    </row>
    <row r="52" spans="9:17" x14ac:dyDescent="0.2">
      <c r="P52" s="14"/>
    </row>
    <row r="53" spans="9:17" x14ac:dyDescent="0.2">
      <c r="J53" s="14"/>
      <c r="K53" s="14"/>
      <c r="L53" s="14"/>
      <c r="P53" s="14"/>
    </row>
    <row r="55" spans="9:17" x14ac:dyDescent="0.2">
      <c r="I55" s="14"/>
      <c r="J55" s="14"/>
      <c r="K55" s="14"/>
      <c r="L55" s="14"/>
      <c r="M55" s="14"/>
      <c r="N55" s="14"/>
      <c r="O55" s="14"/>
      <c r="Q55" s="15" t="e">
        <f>P55*SQRT((N55/M55)^2+(J55/I55)^2)</f>
        <v>#DIV/0!</v>
      </c>
    </row>
    <row r="56" spans="9:17" x14ac:dyDescent="0.2">
      <c r="I56" s="14"/>
      <c r="J56" s="14"/>
      <c r="K56" s="14"/>
      <c r="L56" s="14"/>
      <c r="M56" s="14"/>
      <c r="N56" s="15"/>
      <c r="O56" s="14"/>
      <c r="P56" s="14"/>
      <c r="Q56" s="15" t="e">
        <f>M56*SQRT((N56/M56)^2+(J56/I56)^2)</f>
        <v>#DIV/0!</v>
      </c>
    </row>
    <row r="58" spans="9:17" x14ac:dyDescent="0.2">
      <c r="I58" s="14"/>
      <c r="J58" s="14"/>
      <c r="K58" s="14"/>
      <c r="L58" s="14"/>
    </row>
    <row r="69" spans="2:20" x14ac:dyDescent="0.2">
      <c r="C69" s="13" t="s">
        <v>59</v>
      </c>
      <c r="D69" s="13" t="s">
        <v>63</v>
      </c>
      <c r="E69" s="13" t="s">
        <v>64</v>
      </c>
      <c r="F69" s="13" t="s">
        <v>17</v>
      </c>
      <c r="H69" s="13" t="s">
        <v>77</v>
      </c>
      <c r="I69" s="13" t="s">
        <v>78</v>
      </c>
    </row>
    <row r="70" spans="2:20" x14ac:dyDescent="0.2">
      <c r="B70" s="13" t="s">
        <v>66</v>
      </c>
      <c r="C70" s="13">
        <v>178</v>
      </c>
      <c r="D70" s="13">
        <v>14.07</v>
      </c>
      <c r="E70" s="13">
        <v>-18.18</v>
      </c>
      <c r="F70" s="13">
        <v>40.53</v>
      </c>
      <c r="G70" s="13">
        <v>1.1100000000000001</v>
      </c>
      <c r="H70" s="13">
        <v>4.0199999999999996</v>
      </c>
      <c r="I70" s="13">
        <v>1.88</v>
      </c>
      <c r="J70" s="13">
        <v>0.11700000000000001</v>
      </c>
      <c r="K70" s="13">
        <f>H70/G70</f>
        <v>3.621621621621621</v>
      </c>
    </row>
    <row r="71" spans="2:20" x14ac:dyDescent="0.2">
      <c r="B71" s="73" t="s">
        <v>67</v>
      </c>
      <c r="C71" s="13">
        <v>202</v>
      </c>
      <c r="D71" s="13">
        <v>-2.44</v>
      </c>
      <c r="E71" s="13">
        <v>-18.920000000000002</v>
      </c>
      <c r="F71" s="13">
        <v>17.82</v>
      </c>
      <c r="G71" s="13">
        <v>0.69399999999999995</v>
      </c>
      <c r="H71" s="13">
        <v>5.39</v>
      </c>
      <c r="I71" s="13">
        <v>4.12</v>
      </c>
      <c r="J71" s="13">
        <v>0.16600000000000001</v>
      </c>
      <c r="K71" s="13">
        <f t="shared" ref="K71:K80" si="1">H71/G71</f>
        <v>7.7665706051873196</v>
      </c>
      <c r="O71" s="14">
        <v>138</v>
      </c>
      <c r="P71" s="14"/>
      <c r="Q71" s="14">
        <v>3.33</v>
      </c>
      <c r="R71" s="14"/>
      <c r="S71" s="14">
        <v>3.5806451612903225</v>
      </c>
      <c r="T71" s="14"/>
    </row>
    <row r="72" spans="2:20" x14ac:dyDescent="0.2">
      <c r="B72" s="13" t="s">
        <v>68</v>
      </c>
      <c r="C72" s="13">
        <v>158</v>
      </c>
      <c r="D72" s="13">
        <v>-7.07</v>
      </c>
      <c r="F72" s="13">
        <v>52.08</v>
      </c>
      <c r="G72" s="13">
        <v>1.3</v>
      </c>
      <c r="H72" s="13">
        <v>4.12</v>
      </c>
      <c r="J72" s="13">
        <v>0.193</v>
      </c>
      <c r="K72" s="13">
        <f t="shared" si="1"/>
        <v>3.1692307692307691</v>
      </c>
      <c r="O72" s="14">
        <v>133.69999999999999</v>
      </c>
      <c r="P72" s="14">
        <v>3.0405591591021626</v>
      </c>
      <c r="Q72" s="14">
        <v>3.35</v>
      </c>
      <c r="R72" s="14"/>
      <c r="S72" s="14">
        <v>3.4787123572170304</v>
      </c>
      <c r="T72" s="14"/>
    </row>
    <row r="73" spans="2:20" x14ac:dyDescent="0.2">
      <c r="B73" s="13" t="s">
        <v>69</v>
      </c>
      <c r="C73" s="13">
        <v>218</v>
      </c>
      <c r="D73" s="13">
        <v>-10.25</v>
      </c>
      <c r="E73" s="13">
        <v>-16.89</v>
      </c>
      <c r="F73" s="13">
        <v>35</v>
      </c>
      <c r="G73" s="13">
        <v>1.1200000000000001</v>
      </c>
      <c r="H73" s="13">
        <v>3.39</v>
      </c>
      <c r="I73" s="13">
        <v>3.08</v>
      </c>
      <c r="J73" s="13">
        <v>0.129</v>
      </c>
      <c r="K73" s="13">
        <f t="shared" si="1"/>
        <v>3.026785714285714</v>
      </c>
      <c r="O73" s="14">
        <v>80</v>
      </c>
      <c r="P73" s="14"/>
      <c r="Q73" s="14">
        <v>3</v>
      </c>
      <c r="R73" s="14"/>
      <c r="S73" s="14">
        <v>3.75</v>
      </c>
      <c r="T73" s="14"/>
    </row>
    <row r="74" spans="2:20" x14ac:dyDescent="0.2">
      <c r="B74" s="13" t="s">
        <v>72</v>
      </c>
      <c r="C74" s="13">
        <v>183</v>
      </c>
      <c r="D74" s="13">
        <v>-9.36</v>
      </c>
      <c r="E74" s="13">
        <v>-20.48</v>
      </c>
      <c r="F74" s="13">
        <v>50.94</v>
      </c>
      <c r="G74" s="13">
        <v>1.03</v>
      </c>
      <c r="H74" s="13">
        <v>3.48</v>
      </c>
      <c r="I74" s="13">
        <v>1.8</v>
      </c>
      <c r="J74" s="13">
        <v>0.18099999999999999</v>
      </c>
      <c r="K74" s="13">
        <f t="shared" si="1"/>
        <v>3.378640776699029</v>
      </c>
      <c r="O74" s="14">
        <v>321.33333333333331</v>
      </c>
      <c r="P74" s="14">
        <v>20.256686138984662</v>
      </c>
      <c r="Q74" s="14">
        <v>4.6333333333333337</v>
      </c>
      <c r="R74" s="14">
        <v>0.11547005383792526</v>
      </c>
      <c r="S74" s="14">
        <v>5.0362318840579716</v>
      </c>
      <c r="T74" s="14">
        <v>0.15729888144213422</v>
      </c>
    </row>
    <row r="75" spans="2:20" x14ac:dyDescent="0.2">
      <c r="B75" s="13" t="s">
        <v>70</v>
      </c>
      <c r="C75" s="13">
        <v>341</v>
      </c>
      <c r="D75" s="13">
        <v>-3.03</v>
      </c>
      <c r="E75" s="13">
        <v>-18.16</v>
      </c>
      <c r="F75" s="13">
        <v>46.23</v>
      </c>
      <c r="G75" s="13">
        <v>0.98</v>
      </c>
      <c r="O75" s="14">
        <v>192.27272727272728</v>
      </c>
      <c r="P75" s="14">
        <v>83.17943364689485</v>
      </c>
      <c r="Q75" s="14">
        <v>4.1049999999999995</v>
      </c>
      <c r="R75" s="14">
        <v>0.89141896871099824</v>
      </c>
      <c r="S75" s="14">
        <v>4.095444898941131</v>
      </c>
      <c r="T75" s="14">
        <v>1.0692696989276416</v>
      </c>
    </row>
    <row r="76" spans="2:20" x14ac:dyDescent="0.2">
      <c r="B76" s="13" t="s">
        <v>71</v>
      </c>
      <c r="C76" s="13">
        <v>100</v>
      </c>
      <c r="D76" s="13">
        <v>-6.26</v>
      </c>
      <c r="E76" s="13">
        <v>-18.32</v>
      </c>
      <c r="F76" s="13">
        <v>26.8</v>
      </c>
      <c r="G76" s="13">
        <v>1.02</v>
      </c>
      <c r="H76" s="13">
        <v>3.7</v>
      </c>
      <c r="I76" s="13">
        <v>3.27</v>
      </c>
      <c r="J76" s="13">
        <v>0.10100000000000001</v>
      </c>
      <c r="K76" s="13">
        <f t="shared" si="1"/>
        <v>3.6274509803921569</v>
      </c>
      <c r="O76" s="14">
        <v>315</v>
      </c>
      <c r="P76" s="14">
        <v>2</v>
      </c>
      <c r="Q76" s="14">
        <v>4.7</v>
      </c>
      <c r="R76" s="14"/>
      <c r="S76" s="14">
        <v>5.2222222222222223</v>
      </c>
      <c r="T76" s="14"/>
    </row>
    <row r="77" spans="2:20" x14ac:dyDescent="0.2">
      <c r="B77" s="13" t="s">
        <v>73</v>
      </c>
      <c r="C77" s="13">
        <v>123</v>
      </c>
      <c r="D77" s="13">
        <v>-7.29</v>
      </c>
      <c r="E77" s="13">
        <v>-18</v>
      </c>
      <c r="F77" s="13">
        <v>22.66</v>
      </c>
      <c r="G77" s="13">
        <v>1.07</v>
      </c>
      <c r="H77" s="13">
        <v>3.16</v>
      </c>
      <c r="I77" s="13">
        <v>2.82</v>
      </c>
      <c r="J77" s="13">
        <v>0.10299999999999999</v>
      </c>
      <c r="K77" s="13">
        <f t="shared" si="1"/>
        <v>2.9532710280373831</v>
      </c>
      <c r="O77" s="14">
        <v>305</v>
      </c>
      <c r="P77" s="14"/>
      <c r="Q77" s="14">
        <v>4.7</v>
      </c>
      <c r="R77" s="14"/>
      <c r="S77" s="14">
        <v>5.053763440860215</v>
      </c>
      <c r="T77" s="14"/>
    </row>
    <row r="78" spans="2:20" x14ac:dyDescent="0.2">
      <c r="B78" s="13" t="s">
        <v>74</v>
      </c>
      <c r="C78" s="13">
        <v>159</v>
      </c>
      <c r="D78" s="13">
        <v>-8.98</v>
      </c>
      <c r="E78" s="13">
        <v>-17.93</v>
      </c>
      <c r="F78" s="13">
        <v>22.85</v>
      </c>
      <c r="G78" s="13">
        <v>1.1399999999999999</v>
      </c>
      <c r="H78" s="13">
        <v>3.23</v>
      </c>
      <c r="I78" s="13">
        <v>2.85</v>
      </c>
      <c r="J78" s="13">
        <v>0.107</v>
      </c>
      <c r="K78" s="13">
        <f t="shared" si="1"/>
        <v>2.8333333333333335</v>
      </c>
      <c r="O78" s="14">
        <v>344</v>
      </c>
      <c r="P78" s="14"/>
      <c r="Q78" s="14">
        <v>4.5</v>
      </c>
      <c r="R78" s="14"/>
      <c r="S78" s="14">
        <v>4.838709677419355</v>
      </c>
      <c r="T78" s="14"/>
    </row>
    <row r="79" spans="2:20" x14ac:dyDescent="0.2">
      <c r="B79" s="13" t="s">
        <v>75</v>
      </c>
      <c r="C79" s="13">
        <v>345</v>
      </c>
      <c r="D79" s="13">
        <v>-9.7799999999999994</v>
      </c>
      <c r="E79" s="13">
        <v>-15.65</v>
      </c>
      <c r="F79" s="13">
        <v>53.01</v>
      </c>
      <c r="G79" s="13">
        <v>1.07</v>
      </c>
      <c r="H79" s="13">
        <v>5.22</v>
      </c>
      <c r="I79" s="13">
        <v>4</v>
      </c>
      <c r="J79" s="13">
        <v>0.216</v>
      </c>
      <c r="K79" s="13">
        <f t="shared" si="1"/>
        <v>4.8785046728971961</v>
      </c>
      <c r="O79" s="14">
        <v>252</v>
      </c>
      <c r="P79" s="14"/>
      <c r="Q79" s="14">
        <v>4.09</v>
      </c>
      <c r="R79" s="14"/>
      <c r="S79" s="14">
        <v>3.5877192982456143</v>
      </c>
      <c r="T79" s="14"/>
    </row>
    <row r="80" spans="2:20" x14ac:dyDescent="0.2">
      <c r="B80" s="73" t="s">
        <v>76</v>
      </c>
      <c r="C80" s="13">
        <v>108</v>
      </c>
      <c r="D80" s="13">
        <v>-15.28</v>
      </c>
      <c r="E80" s="13">
        <v>-18.41</v>
      </c>
      <c r="F80" s="13">
        <v>0.37</v>
      </c>
      <c r="G80" s="13">
        <v>0.93700000000000006</v>
      </c>
      <c r="H80" s="13">
        <v>5.34</v>
      </c>
      <c r="I80" s="13">
        <v>2.8</v>
      </c>
      <c r="J80" s="13">
        <v>0.191</v>
      </c>
      <c r="K80" s="13">
        <f t="shared" si="1"/>
        <v>5.6990394877267869</v>
      </c>
    </row>
    <row r="81" spans="2:11" x14ac:dyDescent="0.2">
      <c r="B81" s="13" t="s">
        <v>80</v>
      </c>
      <c r="C81" s="14">
        <f>AVERAGE(C70:C80)</f>
        <v>192.27272727272728</v>
      </c>
      <c r="D81" s="14">
        <f t="shared" ref="D81:K81" si="2">AVERAGE(D70:D80)</f>
        <v>-5.97</v>
      </c>
      <c r="E81" s="14">
        <f t="shared" si="2"/>
        <v>-18.094000000000001</v>
      </c>
      <c r="F81" s="14">
        <f t="shared" si="2"/>
        <v>33.480909090909094</v>
      </c>
      <c r="G81" s="14">
        <f t="shared" si="2"/>
        <v>1.0428181818181819</v>
      </c>
      <c r="H81" s="14">
        <f t="shared" si="2"/>
        <v>4.1049999999999995</v>
      </c>
      <c r="I81" s="14">
        <f t="shared" si="2"/>
        <v>2.9577777777777778</v>
      </c>
      <c r="J81" s="14">
        <f t="shared" si="2"/>
        <v>0.15040000000000001</v>
      </c>
      <c r="K81" s="14">
        <f t="shared" si="2"/>
        <v>4.095444898941131</v>
      </c>
    </row>
    <row r="83" spans="2:11" x14ac:dyDescent="0.2">
      <c r="B83" s="13" t="s">
        <v>60</v>
      </c>
      <c r="C83" s="13">
        <v>135.85</v>
      </c>
      <c r="F83" s="13">
        <v>44.5</v>
      </c>
      <c r="H83" s="13">
        <v>3.34</v>
      </c>
      <c r="K83" s="13">
        <v>3.5287902799788693</v>
      </c>
    </row>
    <row r="84" spans="2:11" x14ac:dyDescent="0.2">
      <c r="B84" s="13" t="s">
        <v>61</v>
      </c>
      <c r="C84" s="13">
        <v>80</v>
      </c>
      <c r="F84" s="13">
        <v>10</v>
      </c>
      <c r="H84" s="13">
        <v>3</v>
      </c>
      <c r="K84" s="13">
        <v>3.75</v>
      </c>
    </row>
    <row r="85" spans="2:11" x14ac:dyDescent="0.2">
      <c r="B85" s="13" t="s">
        <v>54</v>
      </c>
      <c r="C85" s="13">
        <v>315</v>
      </c>
      <c r="F85" s="13">
        <v>75.5</v>
      </c>
      <c r="H85" s="13">
        <v>4.7</v>
      </c>
      <c r="K85" s="13">
        <v>5.2222222222222223</v>
      </c>
    </row>
    <row r="86" spans="2:11" x14ac:dyDescent="0.2">
      <c r="B86" s="13" t="s">
        <v>54</v>
      </c>
      <c r="C86" s="13">
        <v>305</v>
      </c>
      <c r="F86" s="13">
        <v>57.1</v>
      </c>
      <c r="H86" s="13">
        <v>4.7</v>
      </c>
      <c r="K86" s="13">
        <v>5.053763440860215</v>
      </c>
    </row>
    <row r="87" spans="2:11" x14ac:dyDescent="0.2">
      <c r="B87" s="13" t="s">
        <v>54</v>
      </c>
      <c r="C87" s="13">
        <v>344</v>
      </c>
      <c r="F87" s="13">
        <v>82</v>
      </c>
      <c r="H87" s="13">
        <v>4.5</v>
      </c>
      <c r="K87" s="13">
        <v>4.838709677419355</v>
      </c>
    </row>
    <row r="88" spans="2:11" x14ac:dyDescent="0.2">
      <c r="B88" s="13" t="s">
        <v>79</v>
      </c>
      <c r="C88" s="13">
        <v>252</v>
      </c>
      <c r="F88" s="13">
        <v>57</v>
      </c>
      <c r="H88" s="13">
        <v>4.09</v>
      </c>
      <c r="K88" s="13">
        <v>3.5877192982456143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B7F0F-26F2-8643-9B13-059D91AD0A44}">
  <dimension ref="C4:Y25"/>
  <sheetViews>
    <sheetView topLeftCell="E1" workbookViewId="0">
      <selection activeCell="V23" sqref="V23:V25"/>
    </sheetView>
  </sheetViews>
  <sheetFormatPr baseColWidth="10" defaultRowHeight="16" x14ac:dyDescent="0.2"/>
  <sheetData>
    <row r="4" spans="3:25" x14ac:dyDescent="0.2">
      <c r="N4" t="s">
        <v>59</v>
      </c>
      <c r="P4" t="s">
        <v>55</v>
      </c>
    </row>
    <row r="5" spans="3:25" x14ac:dyDescent="0.2">
      <c r="C5" t="s">
        <v>30</v>
      </c>
      <c r="D5">
        <v>1</v>
      </c>
      <c r="E5" s="3">
        <v>83.9</v>
      </c>
      <c r="F5" s="3">
        <v>2.5</v>
      </c>
      <c r="G5" s="2">
        <v>0.64061499039077519</v>
      </c>
      <c r="H5">
        <f>D11</f>
        <v>1</v>
      </c>
      <c r="I5" s="1">
        <v>138</v>
      </c>
      <c r="J5" s="1">
        <v>2</v>
      </c>
      <c r="K5" s="2">
        <v>1.075268817204301</v>
      </c>
      <c r="L5" t="s">
        <v>30</v>
      </c>
      <c r="M5">
        <v>1</v>
      </c>
      <c r="N5" s="1">
        <v>-30.16</v>
      </c>
      <c r="O5" s="2">
        <v>2.14</v>
      </c>
      <c r="Q5" t="s">
        <v>30</v>
      </c>
      <c r="S5">
        <f>M5</f>
        <v>1</v>
      </c>
      <c r="T5">
        <f>N5</f>
        <v>-30.16</v>
      </c>
      <c r="U5">
        <f>O5</f>
        <v>2.14</v>
      </c>
      <c r="V5" s="12">
        <f>G11</f>
        <v>0.61728395061728392</v>
      </c>
      <c r="W5" t="str">
        <f>Q5</f>
        <v>Orgueil</v>
      </c>
    </row>
    <row r="6" spans="3:25" x14ac:dyDescent="0.2">
      <c r="D6">
        <f>D5</f>
        <v>1</v>
      </c>
      <c r="E6" s="3">
        <v>70.7</v>
      </c>
      <c r="F6" s="3">
        <v>1.1000000000000001</v>
      </c>
      <c r="G6" s="2">
        <v>0.63938618925831203</v>
      </c>
      <c r="H6">
        <v>1</v>
      </c>
      <c r="I6" s="5">
        <v>133.69999999999999</v>
      </c>
      <c r="J6" s="5">
        <v>2</v>
      </c>
      <c r="K6" s="12">
        <v>1.7035775127768313</v>
      </c>
      <c r="L6" t="s">
        <v>49</v>
      </c>
      <c r="M6">
        <f>M5+1</f>
        <v>2</v>
      </c>
      <c r="N6" s="1">
        <v>20.73</v>
      </c>
      <c r="O6" s="2">
        <v>6.53</v>
      </c>
      <c r="Q6" t="s">
        <v>49</v>
      </c>
      <c r="S6">
        <f>M9</f>
        <v>5</v>
      </c>
      <c r="T6" s="11">
        <f>N9</f>
        <v>70.7</v>
      </c>
      <c r="U6" s="11">
        <f>O9</f>
        <v>1.1000000000000001</v>
      </c>
      <c r="V6" s="12">
        <f>G6</f>
        <v>0.63938618925831203</v>
      </c>
      <c r="W6" s="11" t="str">
        <f>Q9</f>
        <v>Orgueil</v>
      </c>
    </row>
    <row r="7" spans="3:25" x14ac:dyDescent="0.2">
      <c r="D7">
        <f t="shared" ref="D7:D18" si="0">D6</f>
        <v>1</v>
      </c>
      <c r="E7" s="1">
        <v>170</v>
      </c>
      <c r="F7" s="1"/>
      <c r="G7" s="2">
        <v>1.7467398478723122</v>
      </c>
      <c r="H7">
        <v>1</v>
      </c>
      <c r="I7" s="6">
        <v>80</v>
      </c>
      <c r="J7" s="6">
        <v>2</v>
      </c>
      <c r="K7" s="12">
        <f>1/0.8</f>
        <v>1.25</v>
      </c>
      <c r="L7" t="s">
        <v>56</v>
      </c>
      <c r="M7">
        <f t="shared" ref="M7:M25" si="1">M6+1</f>
        <v>3</v>
      </c>
      <c r="N7" s="4">
        <v>44</v>
      </c>
      <c r="O7" s="1"/>
      <c r="Q7" t="s">
        <v>49</v>
      </c>
      <c r="S7">
        <f>M12</f>
        <v>8</v>
      </c>
      <c r="T7" s="11">
        <f>N12</f>
        <v>83.9</v>
      </c>
      <c r="U7" s="11">
        <f>O12</f>
        <v>2.5</v>
      </c>
      <c r="V7" s="12">
        <f>G5</f>
        <v>0.64061499039077519</v>
      </c>
      <c r="W7" s="11" t="str">
        <f>Q12</f>
        <v>Orgueil</v>
      </c>
      <c r="X7" s="11">
        <f>AVERAGE(T5:T7,T9:T14,T16:T20)</f>
        <v>128.03207609940051</v>
      </c>
      <c r="Y7" s="12">
        <f>STDEV(T5:T7,T9:T14,T16:T20)</f>
        <v>95.679159901259411</v>
      </c>
    </row>
    <row r="8" spans="3:25" x14ac:dyDescent="0.2">
      <c r="D8">
        <f t="shared" si="0"/>
        <v>1</v>
      </c>
      <c r="E8" s="1">
        <v>223</v>
      </c>
      <c r="F8" s="1"/>
      <c r="G8" s="2">
        <v>2.7600419695661951</v>
      </c>
      <c r="H8">
        <v>1</v>
      </c>
      <c r="I8">
        <v>252</v>
      </c>
      <c r="J8">
        <v>13</v>
      </c>
      <c r="K8" s="12">
        <v>0.87719298245614041</v>
      </c>
      <c r="L8" t="s">
        <v>57</v>
      </c>
      <c r="M8">
        <f t="shared" si="1"/>
        <v>4</v>
      </c>
      <c r="N8" s="1">
        <v>53.3</v>
      </c>
      <c r="O8" s="2">
        <v>8.44</v>
      </c>
      <c r="Q8" t="s">
        <v>43</v>
      </c>
      <c r="S8">
        <f>M14</f>
        <v>10</v>
      </c>
      <c r="T8" s="7">
        <f>N14</f>
        <v>138</v>
      </c>
      <c r="U8" s="7">
        <f>O14</f>
        <v>2</v>
      </c>
      <c r="V8" s="12">
        <f>K5</f>
        <v>1.075268817204301</v>
      </c>
      <c r="W8" s="7" t="str">
        <f>Q14</f>
        <v>Orgueil</v>
      </c>
      <c r="X8" s="11">
        <f>AVERAGE(T8,T15,T21)</f>
        <v>117.23333333333333</v>
      </c>
      <c r="Y8" s="12">
        <f>STDEV(T8,T15,T21)</f>
        <v>32.316610795894704</v>
      </c>
    </row>
    <row r="9" spans="3:25" x14ac:dyDescent="0.2">
      <c r="D9">
        <f t="shared" si="0"/>
        <v>1</v>
      </c>
      <c r="E9" s="3">
        <f>(3057*225+1475*-17)/(3057+1475)</f>
        <v>146.23786407766991</v>
      </c>
      <c r="F9" s="1"/>
      <c r="G9" s="2">
        <v>1.1023115544825273</v>
      </c>
      <c r="H9">
        <v>1</v>
      </c>
      <c r="I9">
        <v>315</v>
      </c>
      <c r="J9">
        <v>2</v>
      </c>
      <c r="K9" s="12">
        <v>1.1111111111111112</v>
      </c>
      <c r="L9" t="s">
        <v>58</v>
      </c>
      <c r="M9">
        <f t="shared" si="1"/>
        <v>5</v>
      </c>
      <c r="N9" s="3">
        <v>70.7</v>
      </c>
      <c r="O9" s="3">
        <v>1.1000000000000001</v>
      </c>
      <c r="Q9" t="s">
        <v>30</v>
      </c>
      <c r="S9">
        <f>M15</f>
        <v>11</v>
      </c>
      <c r="T9" s="11">
        <f>N15</f>
        <v>146.23786407766991</v>
      </c>
      <c r="U9" s="11"/>
      <c r="V9" s="12">
        <f>G9</f>
        <v>1.1023115544825273</v>
      </c>
      <c r="W9" s="11" t="str">
        <f>Q15</f>
        <v>Orgueil</v>
      </c>
      <c r="X9">
        <f>AVERAGE(T22:T25)</f>
        <v>304</v>
      </c>
      <c r="Y9" s="12">
        <f>STDEV(T22:T25)</f>
        <v>38.410068124559913</v>
      </c>
    </row>
    <row r="10" spans="3:25" x14ac:dyDescent="0.2">
      <c r="D10">
        <f t="shared" si="0"/>
        <v>1</v>
      </c>
      <c r="E10" s="4">
        <v>235</v>
      </c>
      <c r="F10" s="1"/>
      <c r="G10" s="2">
        <v>1.2345679012345678</v>
      </c>
      <c r="H10">
        <v>1</v>
      </c>
      <c r="I10">
        <v>305</v>
      </c>
      <c r="J10">
        <v>2</v>
      </c>
      <c r="K10" s="12">
        <v>1.075268817204301</v>
      </c>
      <c r="L10" t="s">
        <v>58</v>
      </c>
      <c r="M10">
        <f t="shared" si="1"/>
        <v>6</v>
      </c>
      <c r="N10" s="3">
        <v>79.5</v>
      </c>
      <c r="O10" s="3">
        <v>0.3</v>
      </c>
      <c r="Q10" t="s">
        <v>43</v>
      </c>
      <c r="S10">
        <f>M16</f>
        <v>12</v>
      </c>
      <c r="T10" s="11">
        <f>N16</f>
        <v>170</v>
      </c>
      <c r="U10" s="11"/>
      <c r="V10" s="12">
        <f>G7</f>
        <v>1.7467398478723122</v>
      </c>
      <c r="W10" s="11" t="str">
        <f>Q16</f>
        <v>Orgueil</v>
      </c>
    </row>
    <row r="11" spans="3:25" x14ac:dyDescent="0.2">
      <c r="D11">
        <f t="shared" si="0"/>
        <v>1</v>
      </c>
      <c r="E11" s="1">
        <v>-30.16</v>
      </c>
      <c r="F11" s="2">
        <v>2.14</v>
      </c>
      <c r="G11" s="2">
        <v>0.61728395061728392</v>
      </c>
      <c r="H11">
        <v>1</v>
      </c>
      <c r="I11">
        <v>344</v>
      </c>
      <c r="J11">
        <v>13</v>
      </c>
      <c r="K11" s="12">
        <v>1.075268817204301</v>
      </c>
      <c r="L11" t="s">
        <v>58</v>
      </c>
      <c r="M11">
        <f t="shared" si="1"/>
        <v>7</v>
      </c>
      <c r="N11" s="7">
        <v>80</v>
      </c>
      <c r="O11" s="7">
        <v>2</v>
      </c>
      <c r="Q11" s="7" t="s">
        <v>56</v>
      </c>
      <c r="S11">
        <f>M19</f>
        <v>15</v>
      </c>
      <c r="T11">
        <f>N19</f>
        <v>223</v>
      </c>
      <c r="V11" s="12">
        <f>G8</f>
        <v>2.7600419695661951</v>
      </c>
      <c r="W11" t="str">
        <f>Q19</f>
        <v>Orgueil</v>
      </c>
    </row>
    <row r="12" spans="3:25" x14ac:dyDescent="0.2">
      <c r="C12" t="s">
        <v>43</v>
      </c>
      <c r="D12">
        <f t="shared" si="0"/>
        <v>1</v>
      </c>
      <c r="E12" s="3">
        <v>79.5</v>
      </c>
      <c r="F12" s="3">
        <v>0.3</v>
      </c>
      <c r="G12" s="2">
        <v>0.65616797900262469</v>
      </c>
      <c r="M12">
        <f t="shared" si="1"/>
        <v>8</v>
      </c>
      <c r="N12" s="3">
        <v>83.9</v>
      </c>
      <c r="O12" s="3">
        <v>2.5</v>
      </c>
      <c r="Q12" t="s">
        <v>30</v>
      </c>
      <c r="S12">
        <f>M20</f>
        <v>16</v>
      </c>
      <c r="T12">
        <f>N20</f>
        <v>235</v>
      </c>
      <c r="V12" s="12">
        <f>G10</f>
        <v>1.2345679012345678</v>
      </c>
      <c r="W12" t="str">
        <f>Q20</f>
        <v>Orgueil</v>
      </c>
    </row>
    <row r="13" spans="3:25" x14ac:dyDescent="0.2">
      <c r="D13">
        <f t="shared" si="0"/>
        <v>1</v>
      </c>
      <c r="E13" s="4">
        <v>210</v>
      </c>
      <c r="F13" s="1"/>
      <c r="G13" s="2">
        <v>1.506024096385542</v>
      </c>
      <c r="M13">
        <f t="shared" si="1"/>
        <v>9</v>
      </c>
      <c r="N13" s="8">
        <v>133.69999999999999</v>
      </c>
      <c r="O13" s="8">
        <v>2</v>
      </c>
      <c r="Q13" s="9" t="s">
        <v>49</v>
      </c>
      <c r="S13">
        <f>M6</f>
        <v>2</v>
      </c>
      <c r="T13">
        <f>N6</f>
        <v>20.73</v>
      </c>
      <c r="U13">
        <f>O6</f>
        <v>6.53</v>
      </c>
      <c r="V13" s="12">
        <f>G17</f>
        <v>0.89748273690140656</v>
      </c>
      <c r="W13" t="str">
        <f>Q6</f>
        <v>Alais</v>
      </c>
    </row>
    <row r="14" spans="3:25" x14ac:dyDescent="0.2">
      <c r="D14">
        <f t="shared" si="0"/>
        <v>1</v>
      </c>
      <c r="E14" s="4">
        <v>300</v>
      </c>
      <c r="F14" s="1"/>
      <c r="G14" s="2">
        <v>1.2820512820512819</v>
      </c>
      <c r="M14">
        <f t="shared" si="1"/>
        <v>10</v>
      </c>
      <c r="N14" s="10">
        <v>138</v>
      </c>
      <c r="O14" s="10">
        <v>2</v>
      </c>
      <c r="Q14" s="7" t="s">
        <v>30</v>
      </c>
      <c r="S14">
        <f>M7</f>
        <v>3</v>
      </c>
      <c r="T14">
        <f>N7</f>
        <v>44</v>
      </c>
      <c r="V14" s="12">
        <f>G18</f>
        <v>0.58479532163742687</v>
      </c>
      <c r="W14" t="str">
        <f>Q7</f>
        <v>Alais</v>
      </c>
    </row>
    <row r="15" spans="3:25" x14ac:dyDescent="0.2">
      <c r="D15">
        <f t="shared" si="0"/>
        <v>1</v>
      </c>
      <c r="E15" s="1">
        <v>53.3</v>
      </c>
      <c r="F15" s="2">
        <v>8.44</v>
      </c>
      <c r="G15" s="2">
        <v>0.5714285714285714</v>
      </c>
      <c r="M15">
        <f t="shared" si="1"/>
        <v>11</v>
      </c>
      <c r="N15" s="3">
        <f>(3057*225+1475*-17)/(3057+1475)</f>
        <v>146.23786407766991</v>
      </c>
      <c r="O15" s="1"/>
      <c r="Q15" t="s">
        <v>30</v>
      </c>
      <c r="S15">
        <f>M13</f>
        <v>9</v>
      </c>
      <c r="T15" s="7">
        <f>N13</f>
        <v>133.69999999999999</v>
      </c>
      <c r="U15" s="7">
        <f>O13</f>
        <v>2</v>
      </c>
      <c r="V15" s="12">
        <f>K6</f>
        <v>1.7035775127768313</v>
      </c>
      <c r="W15" s="7" t="str">
        <f>Q13</f>
        <v>Alais</v>
      </c>
    </row>
    <row r="16" spans="3:25" x14ac:dyDescent="0.2">
      <c r="D16">
        <f t="shared" si="0"/>
        <v>1</v>
      </c>
      <c r="E16" s="3">
        <f>(4080*182+2560*20)/(4080+182)</f>
        <v>186.24120131393713</v>
      </c>
      <c r="F16" s="1"/>
      <c r="G16" s="2">
        <v>1.1721435863244516</v>
      </c>
      <c r="M16">
        <f t="shared" si="1"/>
        <v>12</v>
      </c>
      <c r="N16" s="1">
        <v>170</v>
      </c>
      <c r="O16" s="1"/>
      <c r="Q16" t="s">
        <v>30</v>
      </c>
      <c r="S16">
        <f>M8</f>
        <v>4</v>
      </c>
      <c r="T16">
        <f>N8</f>
        <v>53.3</v>
      </c>
      <c r="U16">
        <f>O8</f>
        <v>8.44</v>
      </c>
      <c r="V16" s="12">
        <f>G15</f>
        <v>0.5714285714285714</v>
      </c>
      <c r="W16" t="str">
        <f>Q8</f>
        <v>Ivuna</v>
      </c>
    </row>
    <row r="17" spans="3:23" x14ac:dyDescent="0.2">
      <c r="C17" t="s">
        <v>49</v>
      </c>
      <c r="D17">
        <f t="shared" si="0"/>
        <v>1</v>
      </c>
      <c r="E17" s="1">
        <v>20.73</v>
      </c>
      <c r="F17" s="2">
        <v>6.53</v>
      </c>
      <c r="G17" s="12">
        <v>0.89748273690140656</v>
      </c>
      <c r="M17">
        <f t="shared" si="1"/>
        <v>13</v>
      </c>
      <c r="N17" s="3">
        <f>(4080*182+2560*20)/(4080+182)</f>
        <v>186.24120131393713</v>
      </c>
      <c r="O17" s="1"/>
      <c r="Q17" t="s">
        <v>43</v>
      </c>
      <c r="S17">
        <f>M10</f>
        <v>6</v>
      </c>
      <c r="T17" s="11">
        <f>N10</f>
        <v>79.5</v>
      </c>
      <c r="U17" s="11">
        <f>O10</f>
        <v>0.3</v>
      </c>
      <c r="V17" s="12">
        <f>G12</f>
        <v>0.65616797900262469</v>
      </c>
      <c r="W17" s="11" t="str">
        <f>Q10</f>
        <v>Ivuna</v>
      </c>
    </row>
    <row r="18" spans="3:23" x14ac:dyDescent="0.2">
      <c r="D18">
        <f t="shared" si="0"/>
        <v>1</v>
      </c>
      <c r="E18" s="4">
        <v>44</v>
      </c>
      <c r="F18" s="1"/>
      <c r="G18" s="12">
        <v>0.58479532163742687</v>
      </c>
      <c r="M18">
        <f t="shared" si="1"/>
        <v>14</v>
      </c>
      <c r="N18" s="4">
        <v>210</v>
      </c>
      <c r="O18" s="1"/>
      <c r="Q18" t="s">
        <v>43</v>
      </c>
      <c r="S18">
        <f>M17</f>
        <v>13</v>
      </c>
      <c r="T18" s="11">
        <f>N17</f>
        <v>186.24120131393713</v>
      </c>
      <c r="U18" s="11"/>
      <c r="V18" s="12">
        <f>G16</f>
        <v>1.1721435863244516</v>
      </c>
      <c r="W18" s="11" t="str">
        <f>Q17</f>
        <v>Ivuna</v>
      </c>
    </row>
    <row r="19" spans="3:23" x14ac:dyDescent="0.2">
      <c r="M19">
        <f t="shared" si="1"/>
        <v>15</v>
      </c>
      <c r="N19" s="1">
        <v>223</v>
      </c>
      <c r="O19" s="1"/>
      <c r="Q19" t="s">
        <v>30</v>
      </c>
      <c r="S19">
        <f>M18</f>
        <v>14</v>
      </c>
      <c r="T19" s="11">
        <f>N18</f>
        <v>210</v>
      </c>
      <c r="U19" s="11"/>
      <c r="V19" s="12">
        <f>G13</f>
        <v>1.506024096385542</v>
      </c>
      <c r="W19" s="11" t="str">
        <f>Q18</f>
        <v>Ivuna</v>
      </c>
    </row>
    <row r="20" spans="3:23" x14ac:dyDescent="0.2">
      <c r="M20">
        <f t="shared" si="1"/>
        <v>16</v>
      </c>
      <c r="N20" s="4">
        <v>235</v>
      </c>
      <c r="O20" s="1"/>
      <c r="Q20" t="s">
        <v>30</v>
      </c>
      <c r="S20">
        <f>M22</f>
        <v>18</v>
      </c>
      <c r="T20">
        <f>N22</f>
        <v>300</v>
      </c>
      <c r="V20" s="12">
        <f>G14</f>
        <v>1.2820512820512819</v>
      </c>
      <c r="W20" s="11" t="str">
        <f>Q22</f>
        <v>Ivuna</v>
      </c>
    </row>
    <row r="21" spans="3:23" x14ac:dyDescent="0.2">
      <c r="M21">
        <f t="shared" si="1"/>
        <v>17</v>
      </c>
      <c r="N21" s="7">
        <v>252</v>
      </c>
      <c r="O21" s="7">
        <v>13</v>
      </c>
      <c r="Q21" s="7" t="s">
        <v>57</v>
      </c>
      <c r="S21">
        <f>M11</f>
        <v>7</v>
      </c>
      <c r="T21" s="7">
        <f>N11</f>
        <v>80</v>
      </c>
      <c r="U21" s="7">
        <f>O11</f>
        <v>2</v>
      </c>
      <c r="V21" s="12">
        <f>K7</f>
        <v>1.25</v>
      </c>
      <c r="W21" s="7" t="str">
        <f>Q11</f>
        <v>OC 002</v>
      </c>
    </row>
    <row r="22" spans="3:23" x14ac:dyDescent="0.2">
      <c r="M22">
        <f t="shared" si="1"/>
        <v>18</v>
      </c>
      <c r="N22" s="4">
        <v>300</v>
      </c>
      <c r="O22" s="1"/>
      <c r="Q22" t="s">
        <v>43</v>
      </c>
      <c r="S22">
        <f>M21</f>
        <v>17</v>
      </c>
      <c r="T22" s="7">
        <f>N21</f>
        <v>252</v>
      </c>
      <c r="U22" s="7"/>
      <c r="V22" s="12">
        <f>K8</f>
        <v>0.87719298245614041</v>
      </c>
      <c r="W22" s="7" t="s">
        <v>57</v>
      </c>
    </row>
    <row r="23" spans="3:23" x14ac:dyDescent="0.2">
      <c r="M23">
        <f t="shared" si="1"/>
        <v>19</v>
      </c>
      <c r="N23" s="7">
        <v>305</v>
      </c>
      <c r="O23" s="7">
        <v>2</v>
      </c>
      <c r="Q23" s="7" t="s">
        <v>58</v>
      </c>
      <c r="S23">
        <f t="shared" ref="S23:U25" si="2">M23</f>
        <v>19</v>
      </c>
      <c r="T23" s="7">
        <f t="shared" si="2"/>
        <v>305</v>
      </c>
      <c r="U23" s="7">
        <f t="shared" si="2"/>
        <v>2</v>
      </c>
      <c r="V23" s="12">
        <f t="shared" ref="V23:V25" si="3">K9</f>
        <v>1.1111111111111112</v>
      </c>
      <c r="W23" s="7" t="str">
        <f>Q23</f>
        <v>B</v>
      </c>
    </row>
    <row r="24" spans="3:23" x14ac:dyDescent="0.2">
      <c r="M24">
        <f t="shared" si="1"/>
        <v>20</v>
      </c>
      <c r="N24" s="7">
        <v>315</v>
      </c>
      <c r="O24" s="7">
        <v>2</v>
      </c>
      <c r="Q24" s="7" t="s">
        <v>58</v>
      </c>
      <c r="S24">
        <f t="shared" si="2"/>
        <v>20</v>
      </c>
      <c r="T24" s="7">
        <f t="shared" si="2"/>
        <v>315</v>
      </c>
      <c r="U24" s="7">
        <f t="shared" si="2"/>
        <v>2</v>
      </c>
      <c r="V24" s="12">
        <f t="shared" si="3"/>
        <v>1.075268817204301</v>
      </c>
      <c r="W24" s="7" t="str">
        <f>Q24</f>
        <v>B</v>
      </c>
    </row>
    <row r="25" spans="3:23" x14ac:dyDescent="0.2">
      <c r="M25">
        <f t="shared" si="1"/>
        <v>21</v>
      </c>
      <c r="N25" s="7">
        <v>344</v>
      </c>
      <c r="O25" s="7">
        <v>13</v>
      </c>
      <c r="Q25" s="7" t="s">
        <v>58</v>
      </c>
      <c r="S25">
        <f t="shared" si="2"/>
        <v>21</v>
      </c>
      <c r="T25" s="7">
        <f t="shared" si="2"/>
        <v>344</v>
      </c>
      <c r="U25" s="7">
        <f t="shared" si="2"/>
        <v>13</v>
      </c>
      <c r="V25" s="12">
        <f t="shared" si="3"/>
        <v>1.075268817204301</v>
      </c>
      <c r="W25" s="7" t="str">
        <f>Q25</f>
        <v>B</v>
      </c>
    </row>
  </sheetData>
  <sortState xmlns:xlrd2="http://schemas.microsoft.com/office/spreadsheetml/2017/richdata2" ref="N5:P25">
    <sortCondition ref="N5:N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Laurette Piani</dc:creator>
  <cp:lastModifiedBy>Yves Marrocchi</cp:lastModifiedBy>
  <dcterms:created xsi:type="dcterms:W3CDTF">2025-09-05T09:08:02Z</dcterms:created>
  <dcterms:modified xsi:type="dcterms:W3CDTF">2025-10-22T12:58:16Z</dcterms:modified>
</cp:coreProperties>
</file>