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rd/Documents/Papiers/Soumis/Review 3He Chemical Geology/Revisions/"/>
    </mc:Choice>
  </mc:AlternateContent>
  <xr:revisionPtr revIDLastSave="0" documentId="8_{F3947600-5BD8-E845-BC45-9490993376F9}" xr6:coauthVersionLast="47" xr6:coauthVersionMax="47" xr10:uidLastSave="{00000000-0000-0000-0000-000000000000}"/>
  <bookViews>
    <workbookView xWindow="1920" yWindow="2640" windowWidth="26740" windowHeight="15540" xr2:uid="{9DFD1EEE-3C97-4B47-98FD-F935BAB7D459}"/>
  </bookViews>
  <sheets>
    <sheet name="Supp. T2 - P4 Pnuc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3" i="1" l="1"/>
  <c r="AB43" i="1" s="1"/>
  <c r="AC43" i="1" s="1"/>
  <c r="AD43" i="1" s="1"/>
  <c r="AA41" i="1"/>
  <c r="AB41" i="1" s="1"/>
  <c r="AC41" i="1" s="1"/>
  <c r="AD41" i="1" s="1"/>
  <c r="AA40" i="1"/>
  <c r="AB40" i="1" s="1"/>
  <c r="AC40" i="1" s="1"/>
  <c r="AD40" i="1" s="1"/>
  <c r="AA39" i="1"/>
  <c r="AB39" i="1" s="1"/>
  <c r="AC39" i="1" s="1"/>
  <c r="AD39" i="1" s="1"/>
  <c r="AA38" i="1"/>
  <c r="AB38" i="1" s="1"/>
  <c r="AC38" i="1" s="1"/>
  <c r="AD38" i="1" s="1"/>
  <c r="AA37" i="1"/>
  <c r="AB37" i="1" s="1"/>
  <c r="AC37" i="1" s="1"/>
  <c r="AD37" i="1" s="1"/>
  <c r="T37" i="1"/>
  <c r="U37" i="1" s="1"/>
  <c r="Q36" i="1"/>
  <c r="T36" i="1" s="1"/>
  <c r="AB34" i="1" s="1"/>
  <c r="AC34" i="1" s="1"/>
  <c r="AD34" i="1" s="1"/>
  <c r="Q35" i="1"/>
  <c r="T35" i="1" s="1"/>
  <c r="Q34" i="1"/>
  <c r="T34" i="1" s="1"/>
  <c r="Q33" i="1"/>
  <c r="Q38" i="1" s="1"/>
  <c r="Q32" i="1"/>
  <c r="T32" i="1" s="1"/>
  <c r="AA31" i="1"/>
  <c r="AB31" i="1" s="1"/>
  <c r="AC31" i="1" s="1"/>
  <c r="AD31" i="1" s="1"/>
  <c r="Q31" i="1"/>
  <c r="T31" i="1" s="1"/>
  <c r="Q30" i="1"/>
  <c r="T30" i="1" s="1"/>
  <c r="L30" i="1"/>
  <c r="K30" i="1"/>
  <c r="Q29" i="1"/>
  <c r="T29" i="1" s="1"/>
  <c r="Q28" i="1"/>
  <c r="Q39" i="1" s="1"/>
  <c r="AA26" i="1"/>
  <c r="AB26" i="1" s="1"/>
  <c r="AC26" i="1" s="1"/>
  <c r="AD26" i="1" s="1"/>
  <c r="AA25" i="1"/>
  <c r="AB25" i="1" s="1"/>
  <c r="AC25" i="1" s="1"/>
  <c r="AD25" i="1" s="1"/>
  <c r="J6" i="1"/>
  <c r="M5" i="1"/>
  <c r="L5" i="1"/>
  <c r="K5" i="1"/>
  <c r="T33" i="1" l="1"/>
  <c r="U33" i="1" s="1"/>
  <c r="AB35" i="1"/>
  <c r="AC35" i="1" s="1"/>
  <c r="AD35" i="1" s="1"/>
  <c r="U34" i="1"/>
  <c r="C15" i="1"/>
  <c r="C17" i="1" s="1"/>
  <c r="U31" i="1"/>
  <c r="AB27" i="1"/>
  <c r="AC27" i="1" s="1"/>
  <c r="AD27" i="1" s="1"/>
  <c r="U35" i="1"/>
  <c r="AB32" i="1"/>
  <c r="AC32" i="1" s="1"/>
  <c r="AD32" i="1" s="1"/>
  <c r="U32" i="1"/>
  <c r="AB29" i="1"/>
  <c r="AC29" i="1" s="1"/>
  <c r="AD29" i="1" s="1"/>
  <c r="U29" i="1"/>
  <c r="AB33" i="1"/>
  <c r="AC33" i="1" s="1"/>
  <c r="AD33" i="1" s="1"/>
  <c r="AB28" i="1"/>
  <c r="AC28" i="1" s="1"/>
  <c r="AD28" i="1" s="1"/>
  <c r="U30" i="1"/>
  <c r="S43" i="1"/>
  <c r="U36" i="1"/>
  <c r="AB36" i="1"/>
  <c r="AC36" i="1" s="1"/>
  <c r="AD36" i="1" s="1"/>
  <c r="T28" i="1"/>
  <c r="C16" i="1" l="1"/>
  <c r="AB30" i="1"/>
  <c r="AC30" i="1" s="1"/>
  <c r="AD30" i="1" s="1"/>
  <c r="AD45" i="1" s="1"/>
  <c r="U28" i="1"/>
  <c r="T27" i="1"/>
  <c r="Y45" i="1" l="1"/>
  <c r="U27" i="1"/>
  <c r="T38" i="1"/>
  <c r="U38" i="1" l="1"/>
  <c r="V34" i="1" l="1"/>
  <c r="V37" i="1"/>
  <c r="V33" i="1"/>
  <c r="V30" i="1"/>
  <c r="V32" i="1"/>
  <c r="V29" i="1"/>
  <c r="V31" i="1"/>
  <c r="V35" i="1"/>
  <c r="V36" i="1"/>
  <c r="V28" i="1"/>
  <c r="V27" i="1"/>
  <c r="S42" i="1" l="1"/>
  <c r="S41" i="1"/>
  <c r="V38" i="1"/>
  <c r="S44" i="1" l="1"/>
  <c r="C41" i="1" s="1"/>
  <c r="C42" i="1" s="1"/>
</calcChain>
</file>

<file path=xl/sharedStrings.xml><?xml version="1.0" encoding="utf-8"?>
<sst xmlns="http://schemas.openxmlformats.org/spreadsheetml/2006/main" count="166" uniqueCount="104">
  <si>
    <r>
      <t xml:space="preserve">1 - Computation of the radiogenic </t>
    </r>
    <r>
      <rPr>
        <b/>
        <vertAlign val="superscript"/>
        <sz val="12"/>
        <rFont val="Arial"/>
        <family val="2"/>
      </rPr>
      <t>4</t>
    </r>
    <r>
      <rPr>
        <b/>
        <sz val="12"/>
        <rFont val="Arial"/>
        <family val="2"/>
      </rPr>
      <t>He production rate, P</t>
    </r>
    <r>
      <rPr>
        <b/>
        <vertAlign val="subscript"/>
        <sz val="12"/>
        <rFont val="Arial"/>
        <family val="2"/>
      </rPr>
      <t xml:space="preserve">4 </t>
    </r>
    <r>
      <rPr>
        <b/>
        <sz val="12"/>
        <rFont val="Arial"/>
        <family val="2"/>
      </rPr>
      <t>(Blard and Farley, 2008; Blard, submitted)</t>
    </r>
  </si>
  <si>
    <t>Parameters</t>
  </si>
  <si>
    <t>Rock density (g cm-3)</t>
  </si>
  <si>
    <t>U</t>
  </si>
  <si>
    <t>Th</t>
  </si>
  <si>
    <t>Sm</t>
  </si>
  <si>
    <t>Mineral density  (g cm-3)</t>
  </si>
  <si>
    <t>INPUT DATA</t>
  </si>
  <si>
    <t>I4, in situ</t>
  </si>
  <si>
    <t>M4, bulk</t>
  </si>
  <si>
    <t>Mineral radius (microns)</t>
  </si>
  <si>
    <t>Mineral</t>
  </si>
  <si>
    <t>Bulk rock</t>
  </si>
  <si>
    <t>S (microns)</t>
  </si>
  <si>
    <t>U (ppm)</t>
  </si>
  <si>
    <t>Th (ppm)</t>
  </si>
  <si>
    <t>Literature synthesis</t>
  </si>
  <si>
    <t>Sm  (ppm)</t>
  </si>
  <si>
    <t>Andesites and basalts (n = 17268)</t>
  </si>
  <si>
    <t>Blard and Farley, EPSL, 2008</t>
  </si>
  <si>
    <r>
      <t>Mineral diameter</t>
    </r>
    <r>
      <rPr>
        <b/>
        <sz val="12"/>
        <rFont val="Arial"/>
        <family val="2"/>
      </rPr>
      <t xml:space="preserve"> (microns)</t>
    </r>
  </si>
  <si>
    <t>To get helium closure age</t>
  </si>
  <si>
    <r>
      <rPr>
        <b/>
        <vertAlign val="superscript"/>
        <sz val="12"/>
        <rFont val="Arial"/>
        <family val="2"/>
      </rPr>
      <t>4</t>
    </r>
    <r>
      <rPr>
        <b/>
        <sz val="12"/>
        <rFont val="Arial"/>
        <family val="2"/>
      </rPr>
      <t xml:space="preserve">He* (at/g) </t>
    </r>
  </si>
  <si>
    <t>Concentrations in rocks (ppm)</t>
  </si>
  <si>
    <t>Mean Th</t>
  </si>
  <si>
    <t>1 sigma Th</t>
  </si>
  <si>
    <t>Mean U</t>
  </si>
  <si>
    <t>1 sigma U</t>
  </si>
  <si>
    <t>To get 4He*</t>
  </si>
  <si>
    <t>He closure age (Ma)</t>
  </si>
  <si>
    <t>Mode Th</t>
  </si>
  <si>
    <t>Median Th</t>
  </si>
  <si>
    <t>Mode U</t>
  </si>
  <si>
    <t>Median U</t>
  </si>
  <si>
    <t>OUTPUT</t>
  </si>
  <si>
    <t>P4 (at/g/yr)</t>
  </si>
  <si>
    <t>D_U (rock - mineral)</t>
  </si>
  <si>
    <t>1s</t>
  </si>
  <si>
    <t>D_Th (rock - mineral)</t>
  </si>
  <si>
    <t>Partition coefficient</t>
  </si>
  <si>
    <r>
      <t xml:space="preserve">1 - Computation of the nucleogenic 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He production rate in a mineral, P</t>
    </r>
    <r>
      <rPr>
        <b/>
        <vertAlign val="subscript"/>
        <sz val="12"/>
        <rFont val="Arial"/>
        <family val="2"/>
      </rPr>
      <t>nuc</t>
    </r>
    <r>
      <rPr>
        <b/>
        <sz val="12"/>
        <rFont val="Arial"/>
        <family val="2"/>
      </rPr>
      <t xml:space="preserve"> (Andrews and Kay, 1982; Blard, 2021)</t>
    </r>
  </si>
  <si>
    <t>Element</t>
  </si>
  <si>
    <r>
      <t>uma (g.mol</t>
    </r>
    <r>
      <rPr>
        <b/>
        <vertAlign val="superscript"/>
        <sz val="12"/>
        <rFont val="Arial"/>
        <family val="2"/>
      </rPr>
      <t>-1</t>
    </r>
    <r>
      <rPr>
        <b/>
        <sz val="12"/>
        <rFont val="Arial"/>
        <family val="2"/>
      </rPr>
      <t>)</t>
    </r>
  </si>
  <si>
    <t>Cross section (barns)</t>
  </si>
  <si>
    <t>Concentration (ppm)</t>
  </si>
  <si>
    <t>%weight</t>
  </si>
  <si>
    <r>
      <t>N (mol.g</t>
    </r>
    <r>
      <rPr>
        <b/>
        <vertAlign val="superscript"/>
        <sz val="12"/>
        <rFont val="Arial"/>
        <family val="2"/>
      </rPr>
      <t>-1</t>
    </r>
    <r>
      <rPr>
        <b/>
        <sz val="12"/>
        <rFont val="Arial"/>
        <family val="2"/>
      </rPr>
      <t>)</t>
    </r>
  </si>
  <si>
    <r>
      <t>Proba of n capture  (mol.g</t>
    </r>
    <r>
      <rPr>
        <b/>
        <vertAlign val="superscript"/>
        <sz val="12"/>
        <rFont val="Arial"/>
        <family val="2"/>
      </rPr>
      <t>-1</t>
    </r>
    <r>
      <rPr>
        <b/>
        <sz val="12"/>
        <rFont val="Arial"/>
        <family val="2"/>
      </rPr>
      <t>.barns)</t>
    </r>
  </si>
  <si>
    <t>Whole rock composition</t>
  </si>
  <si>
    <t>e.g. Basalt</t>
  </si>
  <si>
    <t>Li (whole rock)</t>
  </si>
  <si>
    <t>SiO2</t>
  </si>
  <si>
    <t>Al2O3</t>
  </si>
  <si>
    <t>Fe2O3</t>
  </si>
  <si>
    <t>MnO</t>
  </si>
  <si>
    <t>MgO</t>
  </si>
  <si>
    <t>CaO</t>
  </si>
  <si>
    <t>Na2O</t>
  </si>
  <si>
    <t>K2O</t>
  </si>
  <si>
    <t>TiO2</t>
  </si>
  <si>
    <t>% oxyde (g.g-1)</t>
  </si>
  <si>
    <t>uma (g.mol-1)</t>
  </si>
  <si>
    <t>% weight (g.g-1)</t>
  </si>
  <si>
    <r>
      <t>% atomic (mol.mol</t>
    </r>
    <r>
      <rPr>
        <b/>
        <vertAlign val="superscript"/>
        <sz val="12"/>
        <rFont val="Arial"/>
        <family val="2"/>
      </rPr>
      <t>-1</t>
    </r>
    <r>
      <rPr>
        <b/>
        <sz val="12"/>
        <rFont val="Arial"/>
        <family val="2"/>
      </rPr>
      <t>)</t>
    </r>
  </si>
  <si>
    <t>B</t>
  </si>
  <si>
    <t>Major elements (% oxides)</t>
  </si>
  <si>
    <t>O</t>
  </si>
  <si>
    <t>Na</t>
  </si>
  <si>
    <t>Mg</t>
  </si>
  <si>
    <t>Li</t>
  </si>
  <si>
    <t>Co</t>
  </si>
  <si>
    <t>Cr</t>
  </si>
  <si>
    <t>Ni</t>
  </si>
  <si>
    <t>Gd</t>
  </si>
  <si>
    <t>Cl</t>
  </si>
  <si>
    <t>Al</t>
  </si>
  <si>
    <t>Trace elements (ppm)</t>
  </si>
  <si>
    <t>Si</t>
  </si>
  <si>
    <t>K</t>
  </si>
  <si>
    <t>Total Li in mineral (ppm)</t>
  </si>
  <si>
    <t>Ca</t>
  </si>
  <si>
    <t>Ti</t>
  </si>
  <si>
    <t>Mn</t>
  </si>
  <si>
    <t>Helium closure age (Myr)</t>
  </si>
  <si>
    <t>Fe</t>
  </si>
  <si>
    <t>Cr2O3</t>
  </si>
  <si>
    <t>FeO</t>
  </si>
  <si>
    <t>Total</t>
  </si>
  <si>
    <t>m Total (mol.g-1)</t>
  </si>
  <si>
    <r>
      <t>P</t>
    </r>
    <r>
      <rPr>
        <b/>
        <vertAlign val="subscript"/>
        <sz val="12"/>
        <rFont val="Arial"/>
        <family val="2"/>
      </rPr>
      <t>nuc</t>
    </r>
    <r>
      <rPr>
        <b/>
        <sz val="12"/>
        <rFont val="Arial"/>
        <family val="2"/>
      </rPr>
      <t xml:space="preserve"> (at/g/yr)</t>
    </r>
  </si>
  <si>
    <t>(a,n)U</t>
  </si>
  <si>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He</t>
    </r>
    <r>
      <rPr>
        <b/>
        <vertAlign val="subscript"/>
        <sz val="12"/>
        <rFont val="Arial"/>
        <family val="2"/>
      </rPr>
      <t>nuc</t>
    </r>
    <r>
      <rPr>
        <b/>
        <sz val="12"/>
        <rFont val="Arial"/>
        <family val="2"/>
      </rPr>
      <t xml:space="preserve"> (at/g/yr)</t>
    </r>
  </si>
  <si>
    <t>(a,n)Th</t>
  </si>
  <si>
    <t>(s,f)U</t>
  </si>
  <si>
    <t>Li in mineral</t>
  </si>
  <si>
    <t>n (g-1.a-1)</t>
  </si>
  <si>
    <r>
      <t xml:space="preserve">Probability of reaction </t>
    </r>
    <r>
      <rPr>
        <b/>
        <vertAlign val="superscript"/>
        <sz val="12"/>
        <rFont val="Arial"/>
        <family val="2"/>
      </rPr>
      <t>6</t>
    </r>
    <r>
      <rPr>
        <b/>
        <sz val="12"/>
        <rFont val="Arial"/>
        <family val="2"/>
      </rPr>
      <t>Li(n)</t>
    </r>
  </si>
  <si>
    <t>F</t>
  </si>
  <si>
    <t>Major oxydes (%)</t>
  </si>
  <si>
    <t>Typical rock endmembers</t>
  </si>
  <si>
    <t>e.g. basalt</t>
  </si>
  <si>
    <t>e.g. andesite</t>
  </si>
  <si>
    <t>e.g. granite</t>
  </si>
  <si>
    <r>
      <t xml:space="preserve">Supp. Table 2 - Excel spreadsheet for computing radiogenic </t>
    </r>
    <r>
      <rPr>
        <b/>
        <vertAlign val="superscript"/>
        <sz val="12"/>
        <color theme="1"/>
        <rFont val="Arial"/>
        <family val="2"/>
      </rPr>
      <t>4</t>
    </r>
    <r>
      <rPr>
        <b/>
        <sz val="12"/>
        <color theme="1"/>
        <rFont val="Arial"/>
        <family val="2"/>
      </rPr>
      <t xml:space="preserve">He and nucleogenic 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He (Blard, 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</si>
</sst>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)_ ;_ * \(#,##0.00\)_ ;_ * &quot;-&quot;??_)_ ;_ @_ "/>
    <numFmt numFmtId="164" formatCode="0.000"/>
    <numFmt numFmtId="165" formatCode="0.0E+00"/>
    <numFmt numFmtId="166" formatCode="0.00.E+00"/>
    <numFmt numFmtId="167" formatCode="0.0"/>
    <numFmt numFmtId="168" formatCode="0.000E+00"/>
    <numFmt numFmtId="169" formatCode="0.0000"/>
    <numFmt numFmtId="170" formatCode="_-* #,##0\ _€_-;\-* #,##0\ _€_-;_-* &quot;-&quot;??\ _€_-;_-@_-"/>
    <numFmt numFmtId="171" formatCode="0.00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vertAlign val="subscript"/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12"/>
      <color theme="1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i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9" fillId="0" borderId="0"/>
  </cellStyleXfs>
  <cellXfs count="184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6" fillId="2" borderId="2" xfId="0" applyFont="1" applyFill="1" applyBorder="1"/>
    <xf numFmtId="0" fontId="2" fillId="2" borderId="3" xfId="0" applyFont="1" applyFill="1" applyBorder="1"/>
    <xf numFmtId="0" fontId="2" fillId="2" borderId="2" xfId="0" applyFont="1" applyFill="1" applyBorder="1"/>
    <xf numFmtId="11" fontId="2" fillId="0" borderId="0" xfId="0" applyNumberFormat="1" applyFont="1"/>
    <xf numFmtId="0" fontId="6" fillId="0" borderId="0" xfId="3" applyFont="1"/>
    <xf numFmtId="0" fontId="6" fillId="0" borderId="0" xfId="0" applyFont="1"/>
    <xf numFmtId="1" fontId="2" fillId="0" borderId="0" xfId="0" applyNumberFormat="1" applyFont="1"/>
    <xf numFmtId="0" fontId="8" fillId="3" borderId="1" xfId="0" applyFont="1" applyFill="1" applyBorder="1"/>
    <xf numFmtId="0" fontId="3" fillId="3" borderId="4" xfId="0" applyFont="1" applyFill="1" applyBorder="1"/>
    <xf numFmtId="0" fontId="3" fillId="3" borderId="0" xfId="0" applyFont="1" applyFill="1"/>
    <xf numFmtId="0" fontId="3" fillId="0" borderId="0" xfId="0" applyFont="1"/>
    <xf numFmtId="0" fontId="6" fillId="3" borderId="0" xfId="0" applyFont="1" applyFill="1"/>
    <xf numFmtId="0" fontId="3" fillId="3" borderId="5" xfId="0" applyFont="1" applyFill="1" applyBorder="1"/>
    <xf numFmtId="2" fontId="8" fillId="3" borderId="4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0" fontId="3" fillId="3" borderId="6" xfId="0" applyFont="1" applyFill="1" applyBorder="1"/>
    <xf numFmtId="2" fontId="8" fillId="3" borderId="6" xfId="0" applyNumberFormat="1" applyFont="1" applyFill="1" applyBorder="1" applyAlignment="1">
      <alignment horizontal="center" vertical="center"/>
    </xf>
    <xf numFmtId="0" fontId="8" fillId="4" borderId="7" xfId="0" applyFont="1" applyFill="1" applyBorder="1"/>
    <xf numFmtId="0" fontId="2" fillId="4" borderId="8" xfId="0" applyFont="1" applyFill="1" applyBorder="1"/>
    <xf numFmtId="0" fontId="3" fillId="4" borderId="8" xfId="0" applyFont="1" applyFill="1" applyBorder="1"/>
    <xf numFmtId="11" fontId="3" fillId="4" borderId="8" xfId="0" applyNumberFormat="1" applyFont="1" applyFill="1" applyBorder="1"/>
    <xf numFmtId="0" fontId="3" fillId="4" borderId="9" xfId="0" applyFont="1" applyFill="1" applyBorder="1"/>
    <xf numFmtId="165" fontId="3" fillId="0" borderId="0" xfId="0" applyNumberFormat="1" applyFont="1"/>
    <xf numFmtId="11" fontId="3" fillId="0" borderId="0" xfId="0" applyNumberFormat="1" applyFont="1"/>
    <xf numFmtId="165" fontId="3" fillId="4" borderId="10" xfId="0" applyNumberFormat="1" applyFont="1" applyFill="1" applyBorder="1"/>
    <xf numFmtId="0" fontId="2" fillId="4" borderId="0" xfId="0" applyFont="1" applyFill="1"/>
    <xf numFmtId="0" fontId="3" fillId="4" borderId="0" xfId="0" applyFont="1" applyFill="1"/>
    <xf numFmtId="0" fontId="3" fillId="4" borderId="11" xfId="0" applyFont="1" applyFill="1" applyBorder="1"/>
    <xf numFmtId="0" fontId="8" fillId="3" borderId="5" xfId="3" applyFont="1" applyFill="1" applyBorder="1"/>
    <xf numFmtId="1" fontId="8" fillId="3" borderId="5" xfId="0" applyNumberFormat="1" applyFont="1" applyFill="1" applyBorder="1" applyAlignment="1">
      <alignment horizontal="center" vertical="center"/>
    </xf>
    <xf numFmtId="0" fontId="8" fillId="3" borderId="7" xfId="0" applyFont="1" applyFill="1" applyBorder="1"/>
    <xf numFmtId="0" fontId="3" fillId="3" borderId="8" xfId="0" applyFont="1" applyFill="1" applyBorder="1" applyAlignment="1">
      <alignment horizontal="center" wrapText="1"/>
    </xf>
    <xf numFmtId="11" fontId="3" fillId="3" borderId="9" xfId="0" applyNumberFormat="1" applyFont="1" applyFill="1" applyBorder="1" applyAlignment="1">
      <alignment horizontal="center"/>
    </xf>
    <xf numFmtId="0" fontId="3" fillId="4" borderId="7" xfId="0" applyFont="1" applyFill="1" applyBorder="1"/>
    <xf numFmtId="165" fontId="3" fillId="4" borderId="8" xfId="3" applyNumberFormat="1" applyFont="1" applyFill="1" applyBorder="1"/>
    <xf numFmtId="11" fontId="3" fillId="4" borderId="8" xfId="3" applyNumberFormat="1" applyFont="1" applyFill="1" applyBorder="1"/>
    <xf numFmtId="0" fontId="2" fillId="3" borderId="0" xfId="0" applyFont="1" applyFill="1"/>
    <xf numFmtId="0" fontId="8" fillId="3" borderId="12" xfId="0" applyFont="1" applyFill="1" applyBorder="1"/>
    <xf numFmtId="0" fontId="8" fillId="3" borderId="13" xfId="0" applyFont="1" applyFill="1" applyBorder="1"/>
    <xf numFmtId="0" fontId="3" fillId="3" borderId="14" xfId="0" applyFont="1" applyFill="1" applyBorder="1" applyAlignment="1">
      <alignment horizontal="center"/>
    </xf>
    <xf numFmtId="0" fontId="6" fillId="4" borderId="10" xfId="0" applyFont="1" applyFill="1" applyBorder="1"/>
    <xf numFmtId="2" fontId="3" fillId="4" borderId="0" xfId="3" applyNumberFormat="1" applyFont="1" applyFill="1"/>
    <xf numFmtId="2" fontId="3" fillId="4" borderId="0" xfId="0" applyNumberFormat="1" applyFont="1" applyFill="1"/>
    <xf numFmtId="2" fontId="3" fillId="4" borderId="11" xfId="0" applyNumberFormat="1" applyFont="1" applyFill="1" applyBorder="1"/>
    <xf numFmtId="0" fontId="3" fillId="5" borderId="15" xfId="0" applyFont="1" applyFill="1" applyBorder="1"/>
    <xf numFmtId="0" fontId="6" fillId="5" borderId="16" xfId="0" applyFont="1" applyFill="1" applyBorder="1"/>
    <xf numFmtId="0" fontId="6" fillId="0" borderId="0" xfId="0" applyFont="1" applyAlignment="1">
      <alignment horizontal="center"/>
    </xf>
    <xf numFmtId="0" fontId="8" fillId="5" borderId="17" xfId="0" applyFont="1" applyFill="1" applyBorder="1" applyAlignment="1">
      <alignment horizontal="left"/>
    </xf>
    <xf numFmtId="11" fontId="3" fillId="5" borderId="18" xfId="0" applyNumberFormat="1" applyFont="1" applyFill="1" applyBorder="1"/>
    <xf numFmtId="11" fontId="6" fillId="0" borderId="0" xfId="3" applyNumberFormat="1" applyFont="1" applyAlignment="1">
      <alignment horizontal="center"/>
    </xf>
    <xf numFmtId="0" fontId="3" fillId="6" borderId="10" xfId="0" applyFont="1" applyFill="1" applyBorder="1"/>
    <xf numFmtId="0" fontId="3" fillId="6" borderId="0" xfId="0" applyFont="1" applyFill="1"/>
    <xf numFmtId="0" fontId="3" fillId="6" borderId="0" xfId="0" quotePrefix="1" applyFont="1" applyFill="1" applyAlignment="1">
      <alignment horizontal="left"/>
    </xf>
    <xf numFmtId="0" fontId="3" fillId="6" borderId="11" xfId="0" applyFont="1" applyFill="1" applyBorder="1"/>
    <xf numFmtId="1" fontId="8" fillId="5" borderId="18" xfId="0" applyNumberFormat="1" applyFont="1" applyFill="1" applyBorder="1"/>
    <xf numFmtId="0" fontId="10" fillId="0" borderId="0" xfId="4" applyFont="1" applyAlignment="1">
      <alignment horizontal="center"/>
    </xf>
    <xf numFmtId="0" fontId="3" fillId="6" borderId="12" xfId="0" applyFont="1" applyFill="1" applyBorder="1"/>
    <xf numFmtId="0" fontId="3" fillId="6" borderId="13" xfId="0" applyFont="1" applyFill="1" applyBorder="1"/>
    <xf numFmtId="0" fontId="3" fillId="6" borderId="13" xfId="0" quotePrefix="1" applyFont="1" applyFill="1" applyBorder="1" applyAlignment="1">
      <alignment horizontal="left"/>
    </xf>
    <xf numFmtId="0" fontId="3" fillId="6" borderId="14" xfId="0" applyFont="1" applyFill="1" applyBorder="1"/>
    <xf numFmtId="0" fontId="3" fillId="5" borderId="19" xfId="0" applyFont="1" applyFill="1" applyBorder="1" applyAlignment="1">
      <alignment horizontal="left" wrapText="1"/>
    </xf>
    <xf numFmtId="11" fontId="8" fillId="5" borderId="20" xfId="0" applyNumberFormat="1" applyFont="1" applyFill="1" applyBorder="1"/>
    <xf numFmtId="0" fontId="3" fillId="0" borderId="0" xfId="3" applyFont="1"/>
    <xf numFmtId="11" fontId="3" fillId="0" borderId="0" xfId="3" applyNumberFormat="1" applyFont="1"/>
    <xf numFmtId="0" fontId="3" fillId="0" borderId="0" xfId="3" applyFont="1" applyAlignment="1">
      <alignment horizontal="right"/>
    </xf>
    <xf numFmtId="0" fontId="2" fillId="0" borderId="13" xfId="0" applyFont="1" applyBorder="1"/>
    <xf numFmtId="0" fontId="3" fillId="0" borderId="13" xfId="3" applyFont="1" applyBorder="1"/>
    <xf numFmtId="165" fontId="3" fillId="0" borderId="13" xfId="3" applyNumberFormat="1" applyFont="1" applyBorder="1"/>
    <xf numFmtId="0" fontId="6" fillId="0" borderId="13" xfId="0" applyFont="1" applyBorder="1"/>
    <xf numFmtId="2" fontId="2" fillId="0" borderId="13" xfId="0" applyNumberFormat="1" applyFont="1" applyBorder="1"/>
    <xf numFmtId="164" fontId="2" fillId="0" borderId="13" xfId="0" applyNumberFormat="1" applyFont="1" applyBorder="1"/>
    <xf numFmtId="11" fontId="6" fillId="0" borderId="0" xfId="0" applyNumberFormat="1" applyFont="1"/>
    <xf numFmtId="165" fontId="2" fillId="0" borderId="0" xfId="0" applyNumberFormat="1" applyFont="1"/>
    <xf numFmtId="0" fontId="3" fillId="7" borderId="1" xfId="0" applyFont="1" applyFill="1" applyBorder="1"/>
    <xf numFmtId="0" fontId="6" fillId="7" borderId="2" xfId="0" applyFont="1" applyFill="1" applyBorder="1"/>
    <xf numFmtId="0" fontId="2" fillId="7" borderId="3" xfId="0" applyFont="1" applyFill="1" applyBorder="1"/>
    <xf numFmtId="0" fontId="2" fillId="7" borderId="2" xfId="0" applyFont="1" applyFill="1" applyBorder="1"/>
    <xf numFmtId="166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8" fillId="8" borderId="21" xfId="0" applyFont="1" applyFill="1" applyBorder="1"/>
    <xf numFmtId="0" fontId="3" fillId="0" borderId="22" xfId="0" applyFont="1" applyBorder="1"/>
    <xf numFmtId="0" fontId="2" fillId="0" borderId="22" xfId="0" applyFont="1" applyBorder="1"/>
    <xf numFmtId="0" fontId="3" fillId="3" borderId="7" xfId="0" applyFont="1" applyFill="1" applyBorder="1"/>
    <xf numFmtId="2" fontId="11" fillId="3" borderId="7" xfId="0" applyNumberFormat="1" applyFont="1" applyFill="1" applyBorder="1" applyAlignment="1">
      <alignment horizontal="center"/>
    </xf>
    <xf numFmtId="0" fontId="8" fillId="3" borderId="8" xfId="0" applyFont="1" applyFill="1" applyBorder="1"/>
    <xf numFmtId="167" fontId="8" fillId="3" borderId="8" xfId="0" applyNumberFormat="1" applyFont="1" applyFill="1" applyBorder="1"/>
    <xf numFmtId="0" fontId="8" fillId="3" borderId="9" xfId="0" applyFont="1" applyFill="1" applyBorder="1"/>
    <xf numFmtId="9" fontId="2" fillId="0" borderId="0" xfId="2" applyFont="1"/>
    <xf numFmtId="9" fontId="2" fillId="0" borderId="0" xfId="2" applyFont="1" applyFill="1"/>
    <xf numFmtId="167" fontId="2" fillId="0" borderId="0" xfId="0" applyNumberFormat="1" applyFont="1"/>
    <xf numFmtId="167" fontId="2" fillId="0" borderId="23" xfId="0" applyNumberFormat="1" applyFont="1" applyBorder="1" applyAlignment="1">
      <alignment horizontal="center"/>
    </xf>
    <xf numFmtId="164" fontId="2" fillId="0" borderId="0" xfId="0" applyNumberFormat="1" applyFont="1"/>
    <xf numFmtId="168" fontId="2" fillId="0" borderId="22" xfId="0" applyNumberFormat="1" applyFont="1" applyBorder="1"/>
    <xf numFmtId="0" fontId="8" fillId="3" borderId="10" xfId="0" applyFont="1" applyFill="1" applyBorder="1"/>
    <xf numFmtId="2" fontId="3" fillId="3" borderId="10" xfId="0" applyNumberFormat="1" applyFont="1" applyFill="1" applyBorder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12" fillId="9" borderId="11" xfId="0" applyNumberFormat="1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2" fillId="0" borderId="24" xfId="0" applyFont="1" applyBorder="1"/>
    <xf numFmtId="167" fontId="2" fillId="0" borderId="24" xfId="0" applyNumberFormat="1" applyFont="1" applyBorder="1"/>
    <xf numFmtId="167" fontId="2" fillId="0" borderId="24" xfId="0" applyNumberFormat="1" applyFont="1" applyBorder="1" applyAlignment="1">
      <alignment horizontal="center"/>
    </xf>
    <xf numFmtId="169" fontId="2" fillId="0" borderId="24" xfId="0" applyNumberFormat="1" applyFont="1" applyBorder="1"/>
    <xf numFmtId="165" fontId="2" fillId="0" borderId="24" xfId="0" applyNumberFormat="1" applyFont="1" applyBorder="1"/>
    <xf numFmtId="165" fontId="2" fillId="0" borderId="25" xfId="0" applyNumberFormat="1" applyFont="1" applyBorder="1"/>
    <xf numFmtId="0" fontId="2" fillId="0" borderId="24" xfId="0" applyFont="1" applyBorder="1" applyAlignment="1">
      <alignment horizontal="center"/>
    </xf>
    <xf numFmtId="167" fontId="11" fillId="3" borderId="10" xfId="0" applyNumberFormat="1" applyFont="1" applyFill="1" applyBorder="1" applyAlignment="1">
      <alignment horizontal="center"/>
    </xf>
    <xf numFmtId="167" fontId="11" fillId="3" borderId="0" xfId="0" applyNumberFormat="1" applyFont="1" applyFill="1" applyAlignment="1">
      <alignment horizontal="center"/>
    </xf>
    <xf numFmtId="0" fontId="13" fillId="9" borderId="11" xfId="0" applyFont="1" applyFill="1" applyBorder="1"/>
    <xf numFmtId="0" fontId="2" fillId="0" borderId="0" xfId="0" applyFont="1" applyAlignment="1">
      <alignment horizontal="center" vertical="center"/>
    </xf>
    <xf numFmtId="165" fontId="2" fillId="0" borderId="0" xfId="2" applyNumberFormat="1" applyFont="1"/>
    <xf numFmtId="167" fontId="6" fillId="0" borderId="0" xfId="0" applyNumberFormat="1" applyFont="1"/>
    <xf numFmtId="165" fontId="2" fillId="0" borderId="22" xfId="0" applyNumberFormat="1" applyFont="1" applyBorder="1"/>
    <xf numFmtId="167" fontId="8" fillId="3" borderId="10" xfId="0" applyNumberFormat="1" applyFont="1" applyFill="1" applyBorder="1"/>
    <xf numFmtId="167" fontId="8" fillId="3" borderId="0" xfId="0" applyNumberFormat="1" applyFont="1" applyFill="1"/>
    <xf numFmtId="167" fontId="8" fillId="3" borderId="0" xfId="0" applyNumberFormat="1" applyFont="1" applyFill="1" applyAlignment="1">
      <alignment horizontal="center" vertical="center"/>
    </xf>
    <xf numFmtId="0" fontId="8" fillId="3" borderId="11" xfId="0" applyFont="1" applyFill="1" applyBorder="1"/>
    <xf numFmtId="1" fontId="2" fillId="0" borderId="0" xfId="0" applyNumberFormat="1" applyFont="1" applyAlignment="1">
      <alignment horizontal="center" vertical="center"/>
    </xf>
    <xf numFmtId="2" fontId="2" fillId="0" borderId="0" xfId="2" applyNumberFormat="1" applyFont="1"/>
    <xf numFmtId="167" fontId="2" fillId="0" borderId="0" xfId="0" applyNumberFormat="1" applyFont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14" fillId="3" borderId="7" xfId="0" applyFont="1" applyFill="1" applyBorder="1"/>
    <xf numFmtId="0" fontId="11" fillId="3" borderId="9" xfId="0" applyFont="1" applyFill="1" applyBorder="1"/>
    <xf numFmtId="167" fontId="8" fillId="3" borderId="12" xfId="0" applyNumberFormat="1" applyFont="1" applyFill="1" applyBorder="1" applyAlignment="1">
      <alignment horizontal="center"/>
    </xf>
    <xf numFmtId="167" fontId="8" fillId="3" borderId="13" xfId="0" applyNumberFormat="1" applyFont="1" applyFill="1" applyBorder="1" applyAlignment="1">
      <alignment horizontal="center"/>
    </xf>
    <xf numFmtId="167" fontId="8" fillId="3" borderId="13" xfId="0" applyNumberFormat="1" applyFont="1" applyFill="1" applyBorder="1" applyAlignment="1">
      <alignment horizontal="center" vertical="center"/>
    </xf>
    <xf numFmtId="2" fontId="11" fillId="3" borderId="12" xfId="0" applyNumberFormat="1" applyFont="1" applyFill="1" applyBorder="1" applyAlignment="1">
      <alignment horizontal="center"/>
    </xf>
    <xf numFmtId="2" fontId="11" fillId="3" borderId="14" xfId="0" applyNumberFormat="1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1" fontId="2" fillId="0" borderId="13" xfId="0" applyNumberFormat="1" applyFont="1" applyBorder="1" applyAlignment="1">
      <alignment horizontal="center" vertical="center"/>
    </xf>
    <xf numFmtId="1" fontId="3" fillId="0" borderId="0" xfId="0" applyNumberFormat="1" applyFont="1"/>
    <xf numFmtId="0" fontId="3" fillId="0" borderId="0" xfId="0" applyFont="1" applyAlignment="1">
      <alignment horizontal="center" vertical="center"/>
    </xf>
    <xf numFmtId="170" fontId="2" fillId="0" borderId="0" xfId="1" applyNumberFormat="1" applyFont="1" applyAlignment="1">
      <alignment horizontal="center" vertical="center"/>
    </xf>
    <xf numFmtId="0" fontId="3" fillId="5" borderId="17" xfId="0" applyFont="1" applyFill="1" applyBorder="1"/>
    <xf numFmtId="169" fontId="3" fillId="5" borderId="27" xfId="0" applyNumberFormat="1" applyFont="1" applyFill="1" applyBorder="1"/>
    <xf numFmtId="2" fontId="2" fillId="0" borderId="0" xfId="0" applyNumberFormat="1" applyFont="1" applyAlignment="1">
      <alignment horizontal="center" vertical="center"/>
    </xf>
    <xf numFmtId="0" fontId="3" fillId="5" borderId="28" xfId="0" applyFont="1" applyFill="1" applyBorder="1"/>
    <xf numFmtId="11" fontId="3" fillId="5" borderId="14" xfId="0" applyNumberFormat="1" applyFont="1" applyFill="1" applyBorder="1"/>
    <xf numFmtId="0" fontId="3" fillId="0" borderId="1" xfId="0" applyFont="1" applyBorder="1"/>
    <xf numFmtId="167" fontId="3" fillId="0" borderId="21" xfId="0" applyNumberFormat="1" applyFont="1" applyBorder="1"/>
    <xf numFmtId="0" fontId="3" fillId="0" borderId="2" xfId="0" applyFont="1" applyBorder="1"/>
    <xf numFmtId="0" fontId="2" fillId="0" borderId="2" xfId="0" applyFont="1" applyBorder="1"/>
    <xf numFmtId="171" fontId="3" fillId="0" borderId="3" xfId="2" applyNumberFormat="1" applyFont="1" applyFill="1" applyBorder="1"/>
    <xf numFmtId="11" fontId="2" fillId="0" borderId="0" xfId="2" applyNumberFormat="1" applyFont="1" applyFill="1"/>
    <xf numFmtId="0" fontId="2" fillId="10" borderId="29" xfId="0" applyFont="1" applyFill="1" applyBorder="1"/>
    <xf numFmtId="2" fontId="11" fillId="10" borderId="0" xfId="0" applyNumberFormat="1" applyFont="1" applyFill="1" applyAlignment="1">
      <alignment horizontal="left"/>
    </xf>
    <xf numFmtId="0" fontId="8" fillId="10" borderId="0" xfId="0" applyFont="1" applyFill="1"/>
    <xf numFmtId="167" fontId="8" fillId="10" borderId="0" xfId="0" applyNumberFormat="1" applyFont="1" applyFill="1"/>
    <xf numFmtId="0" fontId="11" fillId="10" borderId="22" xfId="0" applyFont="1" applyFill="1" applyBorder="1"/>
    <xf numFmtId="0" fontId="2" fillId="10" borderId="0" xfId="0" applyFont="1" applyFill="1"/>
    <xf numFmtId="165" fontId="2" fillId="0" borderId="0" xfId="0" applyNumberFormat="1" applyFont="1" applyAlignment="1">
      <alignment horizontal="center"/>
    </xf>
    <xf numFmtId="0" fontId="8" fillId="10" borderId="30" xfId="0" applyFont="1" applyFill="1" applyBorder="1"/>
    <xf numFmtId="2" fontId="3" fillId="10" borderId="24" xfId="0" applyNumberFormat="1" applyFont="1" applyFill="1" applyBorder="1" applyAlignment="1">
      <alignment horizontal="center"/>
    </xf>
    <xf numFmtId="0" fontId="3" fillId="10" borderId="25" xfId="0" applyFont="1" applyFill="1" applyBorder="1" applyAlignment="1">
      <alignment horizontal="center"/>
    </xf>
    <xf numFmtId="0" fontId="3" fillId="10" borderId="24" xfId="0" applyFont="1" applyFill="1" applyBorder="1" applyAlignment="1">
      <alignment horizontal="center"/>
    </xf>
    <xf numFmtId="0" fontId="3" fillId="10" borderId="24" xfId="0" applyFont="1" applyFill="1" applyBorder="1" applyAlignment="1">
      <alignment horizontal="center" vertical="center"/>
    </xf>
    <xf numFmtId="0" fontId="14" fillId="10" borderId="24" xfId="0" applyFont="1" applyFill="1" applyBorder="1"/>
    <xf numFmtId="0" fontId="11" fillId="10" borderId="24" xfId="0" applyFont="1" applyFill="1" applyBorder="1"/>
    <xf numFmtId="2" fontId="11" fillId="10" borderId="29" xfId="0" applyNumberFormat="1" applyFont="1" applyFill="1" applyBorder="1" applyAlignment="1">
      <alignment horizontal="center"/>
    </xf>
    <xf numFmtId="1" fontId="11" fillId="10" borderId="0" xfId="0" applyNumberFormat="1" applyFont="1" applyFill="1" applyAlignment="1">
      <alignment horizontal="center"/>
    </xf>
    <xf numFmtId="1" fontId="8" fillId="10" borderId="22" xfId="0" applyNumberFormat="1" applyFont="1" applyFill="1" applyBorder="1" applyAlignment="1">
      <alignment horizontal="center"/>
    </xf>
    <xf numFmtId="1" fontId="8" fillId="10" borderId="0" xfId="0" applyNumberFormat="1" applyFont="1" applyFill="1" applyAlignment="1">
      <alignment horizontal="center"/>
    </xf>
    <xf numFmtId="1" fontId="8" fillId="10" borderId="0" xfId="0" applyNumberFormat="1" applyFont="1" applyFill="1" applyAlignment="1">
      <alignment horizontal="center" vertical="center"/>
    </xf>
    <xf numFmtId="0" fontId="11" fillId="10" borderId="0" xfId="0" applyFont="1" applyFill="1" applyAlignment="1">
      <alignment horizontal="center"/>
    </xf>
    <xf numFmtId="0" fontId="8" fillId="10" borderId="22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2" fontId="11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10" fontId="2" fillId="0" borderId="0" xfId="2" applyNumberFormat="1" applyFont="1" applyFill="1"/>
    <xf numFmtId="0" fontId="8" fillId="0" borderId="0" xfId="0" applyFont="1" applyAlignment="1">
      <alignment horizontal="left" vertical="top"/>
    </xf>
  </cellXfs>
  <cellStyles count="5">
    <cellStyle name="Milliers" xfId="1" builtinId="3"/>
    <cellStyle name="Normal" xfId="0" builtinId="0"/>
    <cellStyle name="Normal_Calcul-VG603-07-03" xfId="3" xr:uid="{998863C8-BD23-0C45-A8D1-F8887531011B}"/>
    <cellStyle name="Normal_U-Th-Li.xls" xfId="4" xr:uid="{B6844F0A-4DFB-534F-8B93-F69853E70CA1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324DA-B173-F440-BB7B-AAA8E439EF03}">
  <dimension ref="A1:AJ79"/>
  <sheetViews>
    <sheetView tabSelected="1" workbookViewId="0">
      <pane xSplit="23580" topLeftCell="V1"/>
      <selection pane="topRight" activeCell="V14" sqref="V14:W14"/>
    </sheetView>
  </sheetViews>
  <sheetFormatPr baseColWidth="10" defaultRowHeight="16" x14ac:dyDescent="0.2"/>
  <cols>
    <col min="1" max="1" width="10.83203125" style="1"/>
    <col min="2" max="2" width="27.1640625" style="1" customWidth="1"/>
    <col min="3" max="3" width="17" style="1" customWidth="1"/>
    <col min="4" max="4" width="12" style="1" customWidth="1"/>
    <col min="5" max="5" width="25" style="1" bestFit="1" customWidth="1"/>
    <col min="6" max="6" width="20.33203125" style="1" bestFit="1" customWidth="1"/>
    <col min="7" max="8" width="12" style="1" customWidth="1"/>
    <col min="9" max="9" width="26" style="1" customWidth="1"/>
    <col min="10" max="10" width="14.83203125" style="1" customWidth="1"/>
    <col min="11" max="11" width="9.6640625" style="1" customWidth="1"/>
    <col min="12" max="12" width="22.6640625" style="1" customWidth="1"/>
    <col min="13" max="16" width="10.83203125" style="1"/>
    <col min="17" max="17" width="15.83203125" style="1" customWidth="1"/>
    <col min="18" max="18" width="10.83203125" style="1"/>
    <col min="19" max="19" width="14.1640625" style="1" bestFit="1" customWidth="1"/>
    <col min="20" max="20" width="9.5" style="1" customWidth="1"/>
    <col min="21" max="21" width="9.83203125" style="1" customWidth="1"/>
    <col min="22" max="22" width="20.6640625" style="1" bestFit="1" customWidth="1"/>
    <col min="23" max="23" width="10.83203125" style="1"/>
    <col min="24" max="24" width="14.83203125" style="1" customWidth="1"/>
    <col min="25" max="25" width="14.1640625" style="1" bestFit="1" customWidth="1"/>
    <col min="26" max="26" width="22.1640625" style="1" bestFit="1" customWidth="1"/>
    <col min="27" max="27" width="20.83203125" style="1" bestFit="1" customWidth="1"/>
    <col min="28" max="29" width="10.83203125" style="1"/>
    <col min="30" max="30" width="34" style="1" bestFit="1" customWidth="1"/>
    <col min="31" max="31" width="14.5" style="1" bestFit="1" customWidth="1"/>
    <col min="32" max="16384" width="10.83203125" style="1"/>
  </cols>
  <sheetData>
    <row r="1" spans="1:15" ht="18" x14ac:dyDescent="0.2">
      <c r="A1" s="183" t="s">
        <v>103</v>
      </c>
    </row>
    <row r="2" spans="1:15" ht="17" thickBot="1" x14ac:dyDescent="0.25"/>
    <row r="3" spans="1:15" ht="20" thickBot="1" x14ac:dyDescent="0.3">
      <c r="B3" s="2" t="s">
        <v>0</v>
      </c>
      <c r="C3" s="3"/>
      <c r="D3" s="4"/>
      <c r="E3" s="4"/>
      <c r="F3" s="5"/>
      <c r="G3" s="4"/>
      <c r="I3" s="1" t="s">
        <v>1</v>
      </c>
    </row>
    <row r="4" spans="1:15" x14ac:dyDescent="0.2">
      <c r="E4" s="6"/>
      <c r="I4" s="7" t="s">
        <v>2</v>
      </c>
      <c r="J4" s="8">
        <v>2.4</v>
      </c>
      <c r="K4" s="1" t="s">
        <v>3</v>
      </c>
      <c r="L4" s="1" t="s">
        <v>4</v>
      </c>
      <c r="M4" s="1" t="s">
        <v>5</v>
      </c>
    </row>
    <row r="5" spans="1:15" ht="17" thickBot="1" x14ac:dyDescent="0.25">
      <c r="C5" s="8"/>
      <c r="I5" s="7" t="s">
        <v>6</v>
      </c>
      <c r="J5" s="8">
        <v>3.2</v>
      </c>
      <c r="K5" s="9">
        <f>(8*137.88/138.88*LN(2)/(4.4688*1000000000)/238+(7/138.88)*LN(2)/(7.038*100000000)/235)/1000000*6.022E+23</f>
        <v>3244299.8873400036</v>
      </c>
      <c r="L5" s="9">
        <f>6*LN(2)/(1.405*10000000000)/232/1000000*6.022E+23</f>
        <v>768339.48729880794</v>
      </c>
      <c r="M5" s="9">
        <f>0.1499*LN(2)/(1.06*100000000000)/147/1000000*6.022E+23</f>
        <v>4015.5463673961326</v>
      </c>
    </row>
    <row r="6" spans="1:15" ht="17" thickBot="1" x14ac:dyDescent="0.25">
      <c r="B6" s="10" t="s">
        <v>7</v>
      </c>
      <c r="C6" s="11" t="s">
        <v>8</v>
      </c>
      <c r="D6" s="12"/>
      <c r="E6" s="11" t="s">
        <v>9</v>
      </c>
      <c r="G6" s="8"/>
      <c r="I6" s="7" t="s">
        <v>10</v>
      </c>
      <c r="J6" s="8">
        <f>C11/2</f>
        <v>100</v>
      </c>
      <c r="L6" s="13"/>
    </row>
    <row r="7" spans="1:15" ht="17" thickBot="1" x14ac:dyDescent="0.25">
      <c r="B7" s="14"/>
      <c r="C7" s="15" t="s">
        <v>11</v>
      </c>
      <c r="D7" s="12"/>
      <c r="E7" s="15" t="s">
        <v>12</v>
      </c>
      <c r="G7" s="13"/>
      <c r="I7" s="7" t="s">
        <v>13</v>
      </c>
      <c r="J7" s="8">
        <v>20</v>
      </c>
    </row>
    <row r="8" spans="1:15" ht="17" thickBot="1" x14ac:dyDescent="0.25">
      <c r="B8" s="11" t="s">
        <v>14</v>
      </c>
      <c r="C8" s="16">
        <v>0.02</v>
      </c>
      <c r="D8" s="14"/>
      <c r="E8" s="16">
        <v>0.25</v>
      </c>
      <c r="G8" s="8"/>
      <c r="M8" s="13"/>
      <c r="N8" s="13"/>
      <c r="O8" s="17"/>
    </row>
    <row r="9" spans="1:15" x14ac:dyDescent="0.2">
      <c r="B9" s="18" t="s">
        <v>15</v>
      </c>
      <c r="C9" s="19">
        <v>0.04</v>
      </c>
      <c r="D9" s="14"/>
      <c r="E9" s="19">
        <v>0.25</v>
      </c>
      <c r="G9" s="8"/>
      <c r="I9" s="20" t="s">
        <v>16</v>
      </c>
      <c r="J9" s="21"/>
      <c r="K9" s="22"/>
      <c r="L9" s="23"/>
      <c r="M9" s="24"/>
      <c r="N9" s="25"/>
      <c r="O9" s="26"/>
    </row>
    <row r="10" spans="1:15" ht="17" thickBot="1" x14ac:dyDescent="0.25">
      <c r="B10" s="18" t="s">
        <v>17</v>
      </c>
      <c r="C10" s="19">
        <v>0.89300000000000002</v>
      </c>
      <c r="D10" s="14"/>
      <c r="E10" s="19">
        <v>0.25</v>
      </c>
      <c r="I10" s="27" t="s">
        <v>18</v>
      </c>
      <c r="J10" s="28"/>
      <c r="K10" s="29" t="s">
        <v>19</v>
      </c>
      <c r="L10" s="29"/>
      <c r="M10" s="30"/>
    </row>
    <row r="11" spans="1:15" ht="20" thickBot="1" x14ac:dyDescent="0.25">
      <c r="B11" s="31" t="s">
        <v>20</v>
      </c>
      <c r="C11" s="32">
        <v>200</v>
      </c>
      <c r="D11" s="14"/>
      <c r="E11" s="33" t="s">
        <v>21</v>
      </c>
      <c r="F11" s="34" t="s">
        <v>22</v>
      </c>
      <c r="G11" s="35">
        <v>7030000000000</v>
      </c>
      <c r="I11" s="36" t="s">
        <v>23</v>
      </c>
      <c r="J11" s="37" t="s">
        <v>24</v>
      </c>
      <c r="K11" s="38" t="s">
        <v>25</v>
      </c>
      <c r="L11" s="22" t="s">
        <v>26</v>
      </c>
      <c r="M11" s="24" t="s">
        <v>27</v>
      </c>
    </row>
    <row r="12" spans="1:15" ht="17" thickBot="1" x14ac:dyDescent="0.25">
      <c r="B12" s="39"/>
      <c r="C12" s="39"/>
      <c r="D12" s="14"/>
      <c r="E12" s="40" t="s">
        <v>28</v>
      </c>
      <c r="F12" s="41" t="s">
        <v>29</v>
      </c>
      <c r="G12" s="42">
        <v>30</v>
      </c>
      <c r="I12" s="43"/>
      <c r="J12" s="44">
        <v>6.0888693978420845</v>
      </c>
      <c r="K12" s="44">
        <v>14.27486241124002</v>
      </c>
      <c r="L12" s="45">
        <v>2.3191223091670938</v>
      </c>
      <c r="M12" s="46">
        <v>13.021503624800518</v>
      </c>
    </row>
    <row r="13" spans="1:15" ht="17" thickBot="1" x14ac:dyDescent="0.25">
      <c r="B13" s="8"/>
      <c r="C13" s="8"/>
      <c r="D13" s="8"/>
      <c r="E13" s="8"/>
      <c r="G13" s="8"/>
      <c r="I13" s="43"/>
      <c r="J13" s="29" t="s">
        <v>30</v>
      </c>
      <c r="K13" s="29" t="s">
        <v>31</v>
      </c>
      <c r="L13" s="29" t="s">
        <v>32</v>
      </c>
      <c r="M13" s="30" t="s">
        <v>33</v>
      </c>
    </row>
    <row r="14" spans="1:15" x14ac:dyDescent="0.2">
      <c r="B14" s="47" t="s">
        <v>34</v>
      </c>
      <c r="C14" s="48"/>
      <c r="D14" s="8"/>
      <c r="G14" s="49"/>
      <c r="I14" s="43"/>
      <c r="J14" s="45">
        <v>2</v>
      </c>
      <c r="K14" s="45">
        <v>2.5499999999999998</v>
      </c>
      <c r="L14" s="45">
        <v>1</v>
      </c>
      <c r="M14" s="46">
        <v>0.8</v>
      </c>
    </row>
    <row r="15" spans="1:15" x14ac:dyDescent="0.2">
      <c r="B15" s="50" t="s">
        <v>35</v>
      </c>
      <c r="C15" s="51">
        <f>((K5*C8+L5*C9+C10*M5)*(1-0.75*(J7/J6)+0.0625*(J7/J6)^3)+(K5*E8+L5*E9+M5*E10)*(0.75*(J7/J6)-0.0625*(J7/J6)^3))</f>
        <v>234496.72152579098</v>
      </c>
      <c r="G15" s="52"/>
      <c r="I15" s="53"/>
      <c r="J15" s="54" t="s">
        <v>36</v>
      </c>
      <c r="K15" s="55" t="s">
        <v>37</v>
      </c>
      <c r="L15" s="54" t="s">
        <v>38</v>
      </c>
      <c r="M15" s="56" t="s">
        <v>37</v>
      </c>
    </row>
    <row r="16" spans="1:15" ht="17" thickBot="1" x14ac:dyDescent="0.25">
      <c r="B16" s="50" t="s">
        <v>29</v>
      </c>
      <c r="C16" s="57">
        <f>G11/C15/1000000</f>
        <v>29.97909716715084</v>
      </c>
      <c r="G16" s="58"/>
      <c r="I16" s="59" t="s">
        <v>39</v>
      </c>
      <c r="J16" s="60">
        <v>0.05</v>
      </c>
      <c r="K16" s="61">
        <v>0.08</v>
      </c>
      <c r="L16" s="60">
        <v>0.09</v>
      </c>
      <c r="M16" s="62">
        <v>0.27</v>
      </c>
    </row>
    <row r="17" spans="1:36" ht="20" thickBot="1" x14ac:dyDescent="0.25">
      <c r="B17" s="63" t="s">
        <v>22</v>
      </c>
      <c r="C17" s="64">
        <f>G12*C15*1000000</f>
        <v>7034901645773.7295</v>
      </c>
    </row>
    <row r="18" spans="1:36" x14ac:dyDescent="0.2">
      <c r="C18" s="65"/>
      <c r="D18" s="66"/>
      <c r="E18" s="17"/>
      <c r="F18" s="67"/>
      <c r="G18" s="8"/>
    </row>
    <row r="19" spans="1:36" ht="17" thickBot="1" x14ac:dyDescent="0.25">
      <c r="A19" s="68"/>
      <c r="B19" s="68"/>
      <c r="C19" s="69"/>
      <c r="D19" s="70"/>
      <c r="E19" s="68"/>
      <c r="F19" s="68"/>
      <c r="G19" s="71"/>
      <c r="H19" s="72"/>
      <c r="I19" s="73"/>
      <c r="J19" s="68"/>
      <c r="K19" s="68"/>
      <c r="L19" s="68"/>
      <c r="M19" s="68"/>
      <c r="N19" s="68"/>
      <c r="O19" s="68"/>
      <c r="P19" s="68"/>
      <c r="Q19" s="68"/>
    </row>
    <row r="20" spans="1:36" ht="17" thickBot="1" x14ac:dyDescent="0.25">
      <c r="C20" s="74"/>
      <c r="D20" s="75"/>
    </row>
    <row r="21" spans="1:36" ht="20" thickBot="1" x14ac:dyDescent="0.3">
      <c r="B21" s="76" t="s">
        <v>40</v>
      </c>
      <c r="C21" s="77"/>
      <c r="D21" s="78"/>
      <c r="E21" s="78"/>
      <c r="F21" s="79"/>
      <c r="G21" s="78"/>
    </row>
    <row r="22" spans="1:36" ht="17" thickBot="1" x14ac:dyDescent="0.25">
      <c r="C22" s="80"/>
      <c r="D22" s="81"/>
      <c r="P22" s="13"/>
      <c r="R22" s="13"/>
      <c r="S22" s="13"/>
      <c r="U22" s="13"/>
      <c r="AH22" s="82"/>
      <c r="AJ22" s="82"/>
    </row>
    <row r="23" spans="1:36" ht="19" thickBot="1" x14ac:dyDescent="0.25">
      <c r="B23" s="83" t="s">
        <v>7</v>
      </c>
      <c r="R23" s="82"/>
      <c r="S23" s="9"/>
      <c r="X23" s="13" t="s">
        <v>41</v>
      </c>
      <c r="Y23" s="13" t="s">
        <v>42</v>
      </c>
      <c r="Z23" s="13" t="s">
        <v>43</v>
      </c>
      <c r="AA23" s="13" t="s">
        <v>44</v>
      </c>
      <c r="AB23" s="13" t="s">
        <v>45</v>
      </c>
      <c r="AC23" s="13" t="s">
        <v>46</v>
      </c>
      <c r="AD23" s="84" t="s">
        <v>47</v>
      </c>
      <c r="AF23" s="13"/>
      <c r="AH23" s="84"/>
      <c r="AJ23" s="82"/>
    </row>
    <row r="24" spans="1:36" ht="17" thickBot="1" x14ac:dyDescent="0.25">
      <c r="R24" s="82"/>
      <c r="S24" s="9"/>
      <c r="AD24" s="85"/>
      <c r="AH24" s="85"/>
      <c r="AJ24" s="82"/>
    </row>
    <row r="25" spans="1:36" ht="17" thickBot="1" x14ac:dyDescent="0.25">
      <c r="B25" s="86" t="s">
        <v>48</v>
      </c>
      <c r="C25" s="87" t="s">
        <v>49</v>
      </c>
      <c r="D25" s="88"/>
      <c r="E25" s="88"/>
      <c r="F25" s="89"/>
      <c r="G25" s="88"/>
      <c r="H25" s="88"/>
      <c r="I25" s="88"/>
      <c r="J25" s="88"/>
      <c r="K25" s="88"/>
      <c r="L25" s="90"/>
      <c r="V25" s="91"/>
      <c r="W25" s="92"/>
      <c r="X25" s="1" t="s">
        <v>50</v>
      </c>
      <c r="Y25" s="93">
        <v>6.94</v>
      </c>
      <c r="Z25" s="1">
        <v>71</v>
      </c>
      <c r="AA25" s="94">
        <f>C30</f>
        <v>12</v>
      </c>
      <c r="AB25" s="95">
        <f>AA25/10000</f>
        <v>1.1999999999999999E-3</v>
      </c>
      <c r="AC25" s="75">
        <f>AB25/Y25/100</f>
        <v>1.7291066282420746E-6</v>
      </c>
      <c r="AD25" s="96">
        <f>AC25*Z25</f>
        <v>1.227665706051873E-4</v>
      </c>
      <c r="AE25" s="1" t="s">
        <v>50</v>
      </c>
      <c r="AF25" s="75"/>
      <c r="AH25" s="96"/>
    </row>
    <row r="26" spans="1:36" ht="19" thickBot="1" x14ac:dyDescent="0.25">
      <c r="B26" s="97"/>
      <c r="C26" s="98" t="s">
        <v>51</v>
      </c>
      <c r="D26" s="99" t="s">
        <v>52</v>
      </c>
      <c r="E26" s="99" t="s">
        <v>53</v>
      </c>
      <c r="F26" s="99" t="s">
        <v>54</v>
      </c>
      <c r="G26" s="99" t="s">
        <v>55</v>
      </c>
      <c r="H26" s="99" t="s">
        <v>56</v>
      </c>
      <c r="I26" s="99" t="s">
        <v>57</v>
      </c>
      <c r="J26" s="99" t="s">
        <v>58</v>
      </c>
      <c r="K26" s="99" t="s">
        <v>59</v>
      </c>
      <c r="L26" s="100"/>
      <c r="Q26" s="101" t="s">
        <v>60</v>
      </c>
      <c r="R26" s="13"/>
      <c r="S26" s="13" t="s">
        <v>61</v>
      </c>
      <c r="T26" s="102" t="s">
        <v>62</v>
      </c>
      <c r="U26" s="103" t="s">
        <v>46</v>
      </c>
      <c r="V26" s="102" t="s">
        <v>63</v>
      </c>
      <c r="X26" s="104" t="s">
        <v>64</v>
      </c>
      <c r="Y26" s="105">
        <v>10.81</v>
      </c>
      <c r="Z26" s="104">
        <v>755</v>
      </c>
      <c r="AA26" s="106">
        <f>D30</f>
        <v>2</v>
      </c>
      <c r="AB26" s="107">
        <f>AA26/10000</f>
        <v>2.0000000000000001E-4</v>
      </c>
      <c r="AC26" s="108">
        <f t="shared" ref="AC26:AC41" si="0">AB26/Y26/100</f>
        <v>1.8501387604070305E-7</v>
      </c>
      <c r="AD26" s="109">
        <f>AC26*Z26</f>
        <v>1.3968547641073081E-4</v>
      </c>
      <c r="AE26" s="110" t="s">
        <v>64</v>
      </c>
      <c r="AF26" s="75"/>
      <c r="AH26" s="96"/>
    </row>
    <row r="27" spans="1:36" x14ac:dyDescent="0.2">
      <c r="B27" s="97" t="s">
        <v>65</v>
      </c>
      <c r="C27" s="111">
        <v>46</v>
      </c>
      <c r="D27" s="112">
        <v>15</v>
      </c>
      <c r="E27" s="112">
        <v>13</v>
      </c>
      <c r="F27" s="112">
        <v>2</v>
      </c>
      <c r="G27" s="112">
        <v>7</v>
      </c>
      <c r="H27" s="112">
        <v>10</v>
      </c>
      <c r="I27" s="112">
        <v>3</v>
      </c>
      <c r="J27" s="112">
        <v>2</v>
      </c>
      <c r="K27" s="112">
        <v>2</v>
      </c>
      <c r="L27" s="113"/>
      <c r="P27" s="13" t="s">
        <v>66</v>
      </c>
      <c r="Q27" s="114"/>
      <c r="R27" s="93"/>
      <c r="S27" s="93">
        <v>15.99</v>
      </c>
      <c r="T27" s="81">
        <f>100-SUM(T28:T37)</f>
        <v>43.463819433670515</v>
      </c>
      <c r="U27" s="115">
        <f>T27/S27/100</f>
        <v>2.7181875818430588E-2</v>
      </c>
      <c r="V27" s="75">
        <f>U27/$U$38*100</f>
        <v>60.603009141787176</v>
      </c>
      <c r="X27" s="1" t="s">
        <v>67</v>
      </c>
      <c r="Y27" s="116">
        <v>22.99</v>
      </c>
      <c r="Z27" s="1">
        <v>0.53400000000000003</v>
      </c>
      <c r="AA27" s="82"/>
      <c r="AB27" s="93">
        <f>T31</f>
        <v>2.2255566311713455</v>
      </c>
      <c r="AC27" s="75">
        <f t="shared" si="0"/>
        <v>9.6805421103581804E-4</v>
      </c>
      <c r="AD27" s="117">
        <f>AC27*Z27</f>
        <v>5.169409486931269E-4</v>
      </c>
      <c r="AE27" s="82" t="s">
        <v>67</v>
      </c>
      <c r="AF27" s="75"/>
      <c r="AG27" s="93"/>
      <c r="AH27" s="96"/>
    </row>
    <row r="28" spans="1:36" ht="17" thickBot="1" x14ac:dyDescent="0.25">
      <c r="B28" s="97"/>
      <c r="C28" s="118"/>
      <c r="D28" s="119"/>
      <c r="E28" s="119"/>
      <c r="F28" s="119"/>
      <c r="G28" s="119"/>
      <c r="H28" s="119"/>
      <c r="I28" s="119"/>
      <c r="J28" s="120"/>
      <c r="K28" s="119"/>
      <c r="L28" s="121"/>
      <c r="P28" s="13" t="s">
        <v>51</v>
      </c>
      <c r="Q28" s="122">
        <f>C27</f>
        <v>46</v>
      </c>
      <c r="R28" s="93"/>
      <c r="S28" s="116">
        <v>28.09</v>
      </c>
      <c r="T28" s="123">
        <f>Q28*S28/(S28+2*16)</f>
        <v>21.503411549342655</v>
      </c>
      <c r="U28" s="115">
        <f t="shared" ref="U28:U37" si="1">T28/S28/100</f>
        <v>7.6551838908304219E-3</v>
      </c>
      <c r="V28" s="75">
        <f t="shared" ref="V28:V37" si="2">U28/$U$38*100</f>
        <v>17.067518901822574</v>
      </c>
      <c r="X28" s="1" t="s">
        <v>68</v>
      </c>
      <c r="Y28" s="116">
        <v>24.305</v>
      </c>
      <c r="Z28" s="1">
        <v>6.4000000000000001E-2</v>
      </c>
      <c r="AA28" s="124"/>
      <c r="AB28" s="93">
        <f>T30</f>
        <v>4.2211884381590368</v>
      </c>
      <c r="AC28" s="75">
        <f t="shared" si="0"/>
        <v>1.7367572261506015E-3</v>
      </c>
      <c r="AD28" s="117">
        <f t="shared" ref="AD28:AD41" si="3">AC28*Z28</f>
        <v>1.111524624736385E-4</v>
      </c>
      <c r="AE28" s="82" t="s">
        <v>68</v>
      </c>
      <c r="AF28" s="75"/>
      <c r="AG28" s="93"/>
      <c r="AH28" s="96"/>
    </row>
    <row r="29" spans="1:36" x14ac:dyDescent="0.2">
      <c r="B29" s="97"/>
      <c r="C29" s="125" t="s">
        <v>69</v>
      </c>
      <c r="D29" s="126" t="s">
        <v>64</v>
      </c>
      <c r="E29" s="126" t="s">
        <v>70</v>
      </c>
      <c r="F29" s="126" t="s">
        <v>71</v>
      </c>
      <c r="G29" s="126" t="s">
        <v>72</v>
      </c>
      <c r="H29" s="126" t="s">
        <v>73</v>
      </c>
      <c r="I29" s="126" t="s">
        <v>5</v>
      </c>
      <c r="J29" s="127" t="s">
        <v>74</v>
      </c>
      <c r="K29" s="128" t="s">
        <v>3</v>
      </c>
      <c r="L29" s="129" t="s">
        <v>4</v>
      </c>
      <c r="P29" s="13" t="s">
        <v>56</v>
      </c>
      <c r="Q29" s="122">
        <f>H27</f>
        <v>10</v>
      </c>
      <c r="R29" s="93"/>
      <c r="S29" s="116">
        <v>40.08</v>
      </c>
      <c r="T29" s="123">
        <f>Q29*S29/(S29+16)</f>
        <v>7.1469329529243932</v>
      </c>
      <c r="U29" s="115">
        <f t="shared" si="1"/>
        <v>1.783166904422254E-3</v>
      </c>
      <c r="V29" s="75">
        <f t="shared" si="2"/>
        <v>3.9756373302522734</v>
      </c>
      <c r="X29" s="1" t="s">
        <v>75</v>
      </c>
      <c r="Y29" s="116">
        <v>26.98</v>
      </c>
      <c r="Z29" s="1">
        <v>0.23200000000000001</v>
      </c>
      <c r="AA29" s="124"/>
      <c r="AB29" s="93">
        <f>T32</f>
        <v>7.9384072185170647</v>
      </c>
      <c r="AC29" s="75">
        <f t="shared" si="0"/>
        <v>2.9423303256178889E-3</v>
      </c>
      <c r="AD29" s="117">
        <f t="shared" si="3"/>
        <v>6.8262063554335025E-4</v>
      </c>
      <c r="AE29" s="82" t="s">
        <v>75</v>
      </c>
      <c r="AF29" s="75"/>
      <c r="AG29" s="93"/>
      <c r="AH29" s="96"/>
    </row>
    <row r="30" spans="1:36" ht="17" thickBot="1" x14ac:dyDescent="0.25">
      <c r="B30" s="40" t="s">
        <v>76</v>
      </c>
      <c r="C30" s="130">
        <v>12</v>
      </c>
      <c r="D30" s="131">
        <v>2</v>
      </c>
      <c r="E30" s="131">
        <v>45</v>
      </c>
      <c r="F30" s="131">
        <v>90</v>
      </c>
      <c r="G30" s="131">
        <v>29.63</v>
      </c>
      <c r="H30" s="131">
        <v>20</v>
      </c>
      <c r="I30" s="131">
        <v>20</v>
      </c>
      <c r="J30" s="132">
        <v>50</v>
      </c>
      <c r="K30" s="133">
        <f>E8</f>
        <v>0.25</v>
      </c>
      <c r="L30" s="134">
        <f>E9</f>
        <v>0.25</v>
      </c>
      <c r="P30" s="13" t="s">
        <v>55</v>
      </c>
      <c r="Q30" s="122">
        <f>G27</f>
        <v>7</v>
      </c>
      <c r="R30" s="93"/>
      <c r="S30" s="116">
        <v>24.305</v>
      </c>
      <c r="T30" s="123">
        <f>Q30*S30/(S30+16)</f>
        <v>4.2211884381590368</v>
      </c>
      <c r="U30" s="115">
        <f t="shared" si="1"/>
        <v>1.7367572261506015E-3</v>
      </c>
      <c r="V30" s="75">
        <f t="shared" si="2"/>
        <v>3.8721652161365396</v>
      </c>
      <c r="X30" s="1" t="s">
        <v>77</v>
      </c>
      <c r="Y30" s="116">
        <v>28.09</v>
      </c>
      <c r="Z30" s="1">
        <v>0.16</v>
      </c>
      <c r="AA30" s="124"/>
      <c r="AB30" s="93">
        <f>T28</f>
        <v>21.503411549342655</v>
      </c>
      <c r="AC30" s="75">
        <f t="shared" si="0"/>
        <v>7.6551838908304219E-3</v>
      </c>
      <c r="AD30" s="117">
        <f t="shared" si="3"/>
        <v>1.2248294225328676E-3</v>
      </c>
      <c r="AE30" s="82" t="s">
        <v>77</v>
      </c>
      <c r="AF30" s="75"/>
      <c r="AG30" s="93"/>
      <c r="AH30" s="96"/>
    </row>
    <row r="31" spans="1:36" x14ac:dyDescent="0.2">
      <c r="P31" s="13" t="s">
        <v>57</v>
      </c>
      <c r="Q31" s="122">
        <f>I27</f>
        <v>3</v>
      </c>
      <c r="R31" s="93"/>
      <c r="S31" s="116">
        <v>22.99</v>
      </c>
      <c r="T31" s="123">
        <f>Q31*2*S31/(2*S31+16)</f>
        <v>2.2255566311713455</v>
      </c>
      <c r="U31" s="115">
        <f t="shared" si="1"/>
        <v>9.6805421103581804E-4</v>
      </c>
      <c r="V31" s="75">
        <f t="shared" si="2"/>
        <v>2.1583130830643511</v>
      </c>
      <c r="X31" s="1" t="s">
        <v>74</v>
      </c>
      <c r="Y31" s="116">
        <v>35.450000000000003</v>
      </c>
      <c r="Z31" s="1">
        <v>33.6</v>
      </c>
      <c r="AA31" s="124">
        <f>J30</f>
        <v>50</v>
      </c>
      <c r="AB31" s="1">
        <f>AA31/10000</f>
        <v>5.0000000000000001E-3</v>
      </c>
      <c r="AC31" s="75">
        <f t="shared" si="0"/>
        <v>1.4104372355430182E-6</v>
      </c>
      <c r="AD31" s="117">
        <f t="shared" si="3"/>
        <v>4.7390691114245414E-5</v>
      </c>
      <c r="AE31" s="82" t="s">
        <v>74</v>
      </c>
      <c r="AF31" s="75"/>
      <c r="AG31" s="93"/>
      <c r="AH31" s="96"/>
    </row>
    <row r="32" spans="1:36" ht="17" thickBot="1" x14ac:dyDescent="0.25">
      <c r="C32" s="8"/>
      <c r="P32" s="13" t="s">
        <v>52</v>
      </c>
      <c r="Q32" s="122">
        <f>D27</f>
        <v>15</v>
      </c>
      <c r="R32" s="93"/>
      <c r="S32" s="116">
        <v>26.98</v>
      </c>
      <c r="T32" s="123">
        <f>2*Q32*S32/(2*S32+3*16)</f>
        <v>7.9384072185170647</v>
      </c>
      <c r="U32" s="115">
        <f t="shared" si="1"/>
        <v>2.9423303256178889E-3</v>
      </c>
      <c r="V32" s="75">
        <f t="shared" si="2"/>
        <v>6.5600355476818581</v>
      </c>
      <c r="X32" s="1" t="s">
        <v>78</v>
      </c>
      <c r="Y32" s="116">
        <v>39.1</v>
      </c>
      <c r="Z32" s="1">
        <v>2.0699999999999998</v>
      </c>
      <c r="AA32" s="124"/>
      <c r="AB32" s="93">
        <f>T35</f>
        <v>1.6602972399150744</v>
      </c>
      <c r="AC32" s="75">
        <f>AB32/Y32/100</f>
        <v>4.2462845010615707E-4</v>
      </c>
      <c r="AD32" s="117">
        <f t="shared" si="3"/>
        <v>8.7898089171974505E-4</v>
      </c>
      <c r="AE32" s="82" t="s">
        <v>78</v>
      </c>
      <c r="AF32" s="75"/>
      <c r="AG32" s="93"/>
      <c r="AH32" s="96"/>
    </row>
    <row r="33" spans="2:36" x14ac:dyDescent="0.2">
      <c r="B33" s="135" t="s">
        <v>79</v>
      </c>
      <c r="P33" s="13" t="s">
        <v>53</v>
      </c>
      <c r="Q33" s="122">
        <f>E27</f>
        <v>13</v>
      </c>
      <c r="R33" s="93"/>
      <c r="S33" s="116">
        <v>55.85</v>
      </c>
      <c r="T33" s="123">
        <f>Q33*2*S33/(2*S33+3*16)</f>
        <v>9.0926737633062</v>
      </c>
      <c r="U33" s="115">
        <f t="shared" si="1"/>
        <v>1.6280525986224171E-3</v>
      </c>
      <c r="V33" s="75">
        <f t="shared" si="2"/>
        <v>3.6298041818999587</v>
      </c>
      <c r="W33" s="93"/>
      <c r="X33" s="1" t="s">
        <v>80</v>
      </c>
      <c r="Y33" s="116">
        <v>40.08</v>
      </c>
      <c r="Z33" s="1">
        <v>0.44</v>
      </c>
      <c r="AA33" s="124"/>
      <c r="AB33" s="93">
        <f>T29</f>
        <v>7.1469329529243932</v>
      </c>
      <c r="AC33" s="75">
        <f t="shared" si="0"/>
        <v>1.783166904422254E-3</v>
      </c>
      <c r="AD33" s="117">
        <f t="shared" si="3"/>
        <v>7.8459343794579171E-4</v>
      </c>
      <c r="AE33" s="82" t="s">
        <v>80</v>
      </c>
      <c r="AF33" s="75"/>
      <c r="AG33" s="93"/>
      <c r="AH33" s="96"/>
    </row>
    <row r="34" spans="2:36" ht="17" thickBot="1" x14ac:dyDescent="0.25">
      <c r="B34" s="136">
        <v>3.4</v>
      </c>
      <c r="P34" s="13" t="s">
        <v>54</v>
      </c>
      <c r="Q34" s="122">
        <f>F27</f>
        <v>2</v>
      </c>
      <c r="R34" s="93"/>
      <c r="S34" s="116">
        <v>54.94</v>
      </c>
      <c r="T34" s="123">
        <f>Q34*S34/(S34+16)</f>
        <v>1.5489145756977727</v>
      </c>
      <c r="U34" s="115">
        <f t="shared" si="1"/>
        <v>2.8192839018889202E-4</v>
      </c>
      <c r="V34" s="75">
        <f t="shared" si="2"/>
        <v>0.62856989422201148</v>
      </c>
      <c r="X34" s="1" t="s">
        <v>81</v>
      </c>
      <c r="Y34" s="116">
        <v>47.88</v>
      </c>
      <c r="Z34" s="1">
        <v>6.1</v>
      </c>
      <c r="AA34" s="124"/>
      <c r="AB34" s="93">
        <f>T36</f>
        <v>1.1987981972959441</v>
      </c>
      <c r="AC34" s="75">
        <f t="shared" si="0"/>
        <v>2.5037556334501755E-4</v>
      </c>
      <c r="AD34" s="117">
        <f t="shared" si="3"/>
        <v>1.527290936404607E-3</v>
      </c>
      <c r="AE34" s="82" t="s">
        <v>81</v>
      </c>
      <c r="AF34" s="75"/>
      <c r="AG34" s="93"/>
      <c r="AH34" s="96"/>
    </row>
    <row r="35" spans="2:36" ht="17" thickBot="1" x14ac:dyDescent="0.25">
      <c r="E35" s="6"/>
      <c r="P35" s="13" t="s">
        <v>58</v>
      </c>
      <c r="Q35" s="122">
        <f>J27</f>
        <v>2</v>
      </c>
      <c r="R35" s="93"/>
      <c r="S35" s="116">
        <v>39.1</v>
      </c>
      <c r="T35" s="123">
        <f>Q35*2*S35/(2*S35+16)</f>
        <v>1.6602972399150744</v>
      </c>
      <c r="U35" s="115">
        <f t="shared" si="1"/>
        <v>4.2462845010615707E-4</v>
      </c>
      <c r="V35" s="75">
        <f t="shared" si="2"/>
        <v>0.94672501690253696</v>
      </c>
      <c r="X35" s="1" t="s">
        <v>82</v>
      </c>
      <c r="Y35" s="116">
        <v>54.94</v>
      </c>
      <c r="Z35" s="1">
        <v>13.3</v>
      </c>
      <c r="AA35" s="124"/>
      <c r="AB35" s="93">
        <f>T34</f>
        <v>1.5489145756977727</v>
      </c>
      <c r="AC35" s="75">
        <f t="shared" si="0"/>
        <v>2.8192839018889202E-4</v>
      </c>
      <c r="AD35" s="117">
        <f t="shared" si="3"/>
        <v>3.7496475895122641E-3</v>
      </c>
      <c r="AE35" s="82" t="s">
        <v>71</v>
      </c>
      <c r="AF35" s="75"/>
      <c r="AG35" s="93"/>
      <c r="AH35" s="96"/>
    </row>
    <row r="36" spans="2:36" x14ac:dyDescent="0.2">
      <c r="B36" s="135" t="s">
        <v>83</v>
      </c>
      <c r="E36" s="6"/>
      <c r="P36" s="13" t="s">
        <v>59</v>
      </c>
      <c r="Q36" s="122">
        <f>K27</f>
        <v>2</v>
      </c>
      <c r="R36" s="93"/>
      <c r="S36" s="93">
        <v>47.88</v>
      </c>
      <c r="T36" s="123">
        <f>Q36*S36/(S36+2*16)</f>
        <v>1.1987981972959441</v>
      </c>
      <c r="U36" s="115">
        <f t="shared" si="1"/>
        <v>2.5037556334501755E-4</v>
      </c>
      <c r="V36" s="75">
        <f t="shared" si="2"/>
        <v>0.55822168623071489</v>
      </c>
      <c r="X36" s="1" t="s">
        <v>84</v>
      </c>
      <c r="Y36" s="116">
        <v>55.85</v>
      </c>
      <c r="Z36" s="1">
        <v>2.56</v>
      </c>
      <c r="AA36" s="124"/>
      <c r="AB36" s="93">
        <f>T33</f>
        <v>9.0926737633062</v>
      </c>
      <c r="AC36" s="75">
        <f>AB36/Y36/100</f>
        <v>1.6280525986224171E-3</v>
      </c>
      <c r="AD36" s="117">
        <f>AC36*Z36</f>
        <v>4.1678146524733875E-3</v>
      </c>
      <c r="AE36" s="82" t="s">
        <v>82</v>
      </c>
      <c r="AF36" s="75"/>
      <c r="AG36" s="93"/>
      <c r="AH36" s="96"/>
    </row>
    <row r="37" spans="2:36" ht="17" thickBot="1" x14ac:dyDescent="0.25">
      <c r="B37" s="136">
        <v>10</v>
      </c>
      <c r="P37" s="13" t="s">
        <v>85</v>
      </c>
      <c r="Q37" s="122">
        <v>0</v>
      </c>
      <c r="R37" s="93"/>
      <c r="S37" s="93">
        <v>52</v>
      </c>
      <c r="T37" s="123">
        <f>Q37*2*S37/(2*S37+16*3)</f>
        <v>0</v>
      </c>
      <c r="U37" s="115">
        <f t="shared" si="1"/>
        <v>0</v>
      </c>
      <c r="V37" s="75">
        <f t="shared" si="2"/>
        <v>0</v>
      </c>
      <c r="X37" s="1" t="s">
        <v>71</v>
      </c>
      <c r="Y37" s="116">
        <v>52</v>
      </c>
      <c r="Z37" s="1">
        <v>3.1</v>
      </c>
      <c r="AA37" s="124">
        <f>F30</f>
        <v>90</v>
      </c>
      <c r="AB37" s="1">
        <f>AA37/10000</f>
        <v>8.9999999999999993E-3</v>
      </c>
      <c r="AC37" s="75">
        <f t="shared" si="0"/>
        <v>1.7307692307692306E-6</v>
      </c>
      <c r="AD37" s="117">
        <f t="shared" si="3"/>
        <v>5.3653846153846149E-6</v>
      </c>
      <c r="AE37" s="82" t="s">
        <v>84</v>
      </c>
      <c r="AF37" s="75"/>
      <c r="AG37" s="93"/>
      <c r="AH37" s="96"/>
    </row>
    <row r="38" spans="2:36" ht="17" thickBot="1" x14ac:dyDescent="0.25">
      <c r="P38" s="103" t="s">
        <v>86</v>
      </c>
      <c r="Q38" s="137">
        <f>+Q33*0.9</f>
        <v>11.700000000000001</v>
      </c>
      <c r="T38" s="138">
        <f>SUM(T27:T37)</f>
        <v>99.999999999999986</v>
      </c>
      <c r="U38" s="25">
        <f>SUM(U27:U37)</f>
        <v>4.4852353378750057E-2</v>
      </c>
      <c r="V38" s="9">
        <f>SUM(V27:V37)</f>
        <v>99.999999999999986</v>
      </c>
      <c r="X38" s="1" t="s">
        <v>70</v>
      </c>
      <c r="Y38" s="116">
        <v>58.93</v>
      </c>
      <c r="Z38" s="1">
        <v>37.5</v>
      </c>
      <c r="AA38" s="124">
        <f>E30</f>
        <v>45</v>
      </c>
      <c r="AB38" s="1">
        <f>AA38/10000</f>
        <v>4.4999999999999997E-3</v>
      </c>
      <c r="AC38" s="75">
        <f t="shared" si="0"/>
        <v>7.6361785168844375E-7</v>
      </c>
      <c r="AD38" s="117">
        <f t="shared" si="3"/>
        <v>2.8635669438316639E-5</v>
      </c>
      <c r="AE38" s="82" t="s">
        <v>70</v>
      </c>
      <c r="AF38" s="75"/>
      <c r="AG38" s="93"/>
      <c r="AH38" s="96"/>
    </row>
    <row r="39" spans="2:36" ht="17" thickBot="1" x14ac:dyDescent="0.25">
      <c r="P39" s="139" t="s">
        <v>87</v>
      </c>
      <c r="Q39" s="140">
        <f>SUM(Q28:Q37)</f>
        <v>100</v>
      </c>
      <c r="U39" s="1" t="s">
        <v>88</v>
      </c>
      <c r="X39" s="1" t="s">
        <v>72</v>
      </c>
      <c r="Y39" s="116">
        <v>58.69</v>
      </c>
      <c r="Z39" s="1">
        <v>4.54</v>
      </c>
      <c r="AA39" s="124">
        <f>G30</f>
        <v>29.63</v>
      </c>
      <c r="AB39" s="1">
        <f>AA39/10000</f>
        <v>2.9629999999999999E-3</v>
      </c>
      <c r="AC39" s="75">
        <f>AB39/Y39/100</f>
        <v>5.0485602317260187E-7</v>
      </c>
      <c r="AD39" s="117">
        <f t="shared" si="3"/>
        <v>2.2920463452036124E-6</v>
      </c>
      <c r="AE39" s="82" t="s">
        <v>72</v>
      </c>
      <c r="AF39" s="75"/>
      <c r="AG39" s="93"/>
      <c r="AH39" s="96"/>
    </row>
    <row r="40" spans="2:36" x14ac:dyDescent="0.2">
      <c r="B40" s="47" t="s">
        <v>34</v>
      </c>
      <c r="C40" s="48"/>
      <c r="Q40" s="114"/>
      <c r="X40" s="1" t="s">
        <v>5</v>
      </c>
      <c r="Y40" s="116">
        <v>150.36000000000001</v>
      </c>
      <c r="Z40" s="1">
        <v>5820</v>
      </c>
      <c r="AA40" s="124">
        <f>I30</f>
        <v>20</v>
      </c>
      <c r="AB40" s="1">
        <f>AA40/10000</f>
        <v>2E-3</v>
      </c>
      <c r="AC40" s="75">
        <f t="shared" si="0"/>
        <v>1.330140994945464E-7</v>
      </c>
      <c r="AD40" s="117">
        <f t="shared" si="3"/>
        <v>7.7414205905826003E-4</v>
      </c>
      <c r="AE40" s="82" t="s">
        <v>5</v>
      </c>
      <c r="AF40" s="75"/>
      <c r="AG40" s="93"/>
      <c r="AH40" s="96"/>
    </row>
    <row r="41" spans="2:36" ht="18" x14ac:dyDescent="0.25">
      <c r="B41" s="141" t="s">
        <v>89</v>
      </c>
      <c r="C41" s="142">
        <f>S44*Y45</f>
        <v>8.5150688692652693E-4</v>
      </c>
      <c r="Q41" s="114"/>
      <c r="R41" s="13" t="s">
        <v>90</v>
      </c>
      <c r="S41" s="143">
        <f>K30/100*(13.8*V31+5.4*V30+5*V32+1.31*V28+0.6*V29)</f>
        <v>0.27059605652843399</v>
      </c>
      <c r="X41" s="1" t="s">
        <v>73</v>
      </c>
      <c r="Y41" s="116">
        <v>157.25</v>
      </c>
      <c r="Z41" s="1">
        <v>49000</v>
      </c>
      <c r="AA41" s="124">
        <f>H30</f>
        <v>20</v>
      </c>
      <c r="AB41" s="1">
        <f>AA41/10000</f>
        <v>2E-3</v>
      </c>
      <c r="AC41" s="75">
        <f t="shared" si="0"/>
        <v>1.2718600953895072E-7</v>
      </c>
      <c r="AD41" s="117">
        <f t="shared" si="3"/>
        <v>6.2321144674085853E-3</v>
      </c>
      <c r="AE41" s="82" t="s">
        <v>73</v>
      </c>
      <c r="AF41" s="75"/>
      <c r="AG41" s="93"/>
      <c r="AH41" s="96"/>
    </row>
    <row r="42" spans="2:36" ht="20" thickBot="1" x14ac:dyDescent="0.3">
      <c r="B42" s="144" t="s">
        <v>91</v>
      </c>
      <c r="C42" s="145">
        <f>B37*1000000*C41</f>
        <v>8515.0688692652693</v>
      </c>
      <c r="R42" s="13" t="s">
        <v>92</v>
      </c>
      <c r="S42" s="143">
        <f>L30/100*(6*V31+2.45*V30+2.55*V32+0.56*V28+0.25*V29)</f>
        <v>0.12429123460523268</v>
      </c>
      <c r="T42" s="9"/>
      <c r="AA42" s="124"/>
      <c r="AF42" s="75"/>
      <c r="AH42" s="96"/>
      <c r="AJ42" s="82"/>
    </row>
    <row r="43" spans="2:36" ht="17" thickBot="1" x14ac:dyDescent="0.25">
      <c r="R43" s="13" t="s">
        <v>93</v>
      </c>
      <c r="S43" s="143">
        <f>0.4764*K30</f>
        <v>0.1191</v>
      </c>
      <c r="T43" s="9"/>
      <c r="X43" s="146" t="s">
        <v>94</v>
      </c>
      <c r="Y43" s="147">
        <v>6.94</v>
      </c>
      <c r="Z43" s="148">
        <v>71</v>
      </c>
      <c r="AA43" s="94">
        <f>B34</f>
        <v>3.4</v>
      </c>
      <c r="AB43" s="149">
        <f>AA43/10000</f>
        <v>3.3999999999999997E-4</v>
      </c>
      <c r="AC43" s="75">
        <f>AB43/Y43/100</f>
        <v>4.8991354466858784E-7</v>
      </c>
      <c r="AD43" s="117">
        <f>AC43*Z43</f>
        <v>3.478386167146974E-5</v>
      </c>
      <c r="AF43" s="75"/>
      <c r="AH43" s="96"/>
      <c r="AJ43" s="82"/>
    </row>
    <row r="44" spans="2:36" ht="17" thickBot="1" x14ac:dyDescent="0.25">
      <c r="R44" s="13" t="s">
        <v>95</v>
      </c>
      <c r="S44" s="143">
        <f>SUM(S41:S43)</f>
        <v>0.5139872911336667</v>
      </c>
      <c r="T44" s="9"/>
      <c r="AJ44" s="82"/>
    </row>
    <row r="45" spans="2:36" ht="19" thickBot="1" x14ac:dyDescent="0.25">
      <c r="W45" s="146" t="s">
        <v>96</v>
      </c>
      <c r="X45" s="148" t="s">
        <v>97</v>
      </c>
      <c r="Y45" s="150">
        <f>AD43/SUM(AD25:AD41)</f>
        <v>1.6566691465238689E-3</v>
      </c>
      <c r="Z45" s="6"/>
      <c r="AC45" s="95"/>
      <c r="AD45" s="151">
        <f>SUM(AD25:AD41)</f>
        <v>2.099626334229469E-2</v>
      </c>
      <c r="AH45" s="151"/>
      <c r="AJ45" s="82"/>
    </row>
    <row r="46" spans="2:36" x14ac:dyDescent="0.2">
      <c r="B46" s="152"/>
      <c r="C46" s="153" t="s">
        <v>98</v>
      </c>
      <c r="D46" s="154"/>
      <c r="E46" s="154"/>
      <c r="F46" s="155"/>
      <c r="G46" s="154"/>
      <c r="H46" s="154"/>
      <c r="I46" s="154"/>
      <c r="J46" s="154"/>
      <c r="K46" s="154"/>
      <c r="L46" s="156" t="s">
        <v>76</v>
      </c>
      <c r="M46" s="157"/>
      <c r="N46" s="157"/>
      <c r="O46" s="157"/>
      <c r="P46" s="157"/>
      <c r="Q46" s="157"/>
      <c r="R46" s="157"/>
      <c r="S46" s="157"/>
      <c r="T46" s="157"/>
      <c r="U46" s="157"/>
      <c r="Z46" s="6"/>
      <c r="AC46" s="75"/>
      <c r="AH46" s="158"/>
      <c r="AJ46" s="82"/>
    </row>
    <row r="47" spans="2:36" x14ac:dyDescent="0.2">
      <c r="B47" s="159" t="s">
        <v>99</v>
      </c>
      <c r="C47" s="160" t="s">
        <v>51</v>
      </c>
      <c r="D47" s="160" t="s">
        <v>52</v>
      </c>
      <c r="E47" s="160" t="s">
        <v>53</v>
      </c>
      <c r="F47" s="160" t="s">
        <v>54</v>
      </c>
      <c r="G47" s="160" t="s">
        <v>55</v>
      </c>
      <c r="H47" s="160" t="s">
        <v>56</v>
      </c>
      <c r="I47" s="160" t="s">
        <v>57</v>
      </c>
      <c r="J47" s="160" t="s">
        <v>58</v>
      </c>
      <c r="K47" s="160" t="s">
        <v>59</v>
      </c>
      <c r="L47" s="161" t="s">
        <v>69</v>
      </c>
      <c r="M47" s="162" t="s">
        <v>64</v>
      </c>
      <c r="N47" s="162" t="s">
        <v>70</v>
      </c>
      <c r="O47" s="162" t="s">
        <v>71</v>
      </c>
      <c r="P47" s="162" t="s">
        <v>72</v>
      </c>
      <c r="Q47" s="162" t="s">
        <v>73</v>
      </c>
      <c r="R47" s="162" t="s">
        <v>5</v>
      </c>
      <c r="S47" s="163" t="s">
        <v>74</v>
      </c>
      <c r="T47" s="164" t="s">
        <v>3</v>
      </c>
      <c r="U47" s="165" t="s">
        <v>4</v>
      </c>
      <c r="V47" s="93"/>
      <c r="AA47" s="82"/>
      <c r="AC47" s="82"/>
    </row>
    <row r="48" spans="2:36" x14ac:dyDescent="0.2">
      <c r="B48" s="166" t="s">
        <v>100</v>
      </c>
      <c r="C48" s="167">
        <v>46</v>
      </c>
      <c r="D48" s="167">
        <v>15</v>
      </c>
      <c r="E48" s="167">
        <v>13</v>
      </c>
      <c r="F48" s="167">
        <v>2</v>
      </c>
      <c r="G48" s="167">
        <v>7</v>
      </c>
      <c r="H48" s="167">
        <v>10</v>
      </c>
      <c r="I48" s="167">
        <v>3</v>
      </c>
      <c r="J48" s="167">
        <v>2</v>
      </c>
      <c r="K48" s="167">
        <v>2</v>
      </c>
      <c r="L48" s="168">
        <v>12</v>
      </c>
      <c r="M48" s="169">
        <v>2</v>
      </c>
      <c r="N48" s="169">
        <v>45</v>
      </c>
      <c r="O48" s="169">
        <v>90</v>
      </c>
      <c r="P48" s="169">
        <v>29.63</v>
      </c>
      <c r="Q48" s="169">
        <v>20</v>
      </c>
      <c r="R48" s="169">
        <v>20</v>
      </c>
      <c r="S48" s="170">
        <v>50</v>
      </c>
      <c r="T48" s="171">
        <v>1</v>
      </c>
      <c r="U48" s="171">
        <v>3</v>
      </c>
    </row>
    <row r="49" spans="1:22" x14ac:dyDescent="0.2">
      <c r="B49" s="166" t="s">
        <v>101</v>
      </c>
      <c r="C49" s="170">
        <v>62</v>
      </c>
      <c r="D49" s="170">
        <v>15</v>
      </c>
      <c r="E49" s="170">
        <v>6</v>
      </c>
      <c r="F49" s="170">
        <v>1</v>
      </c>
      <c r="G49" s="170">
        <v>3.5</v>
      </c>
      <c r="H49" s="170">
        <v>5</v>
      </c>
      <c r="I49" s="170">
        <v>3</v>
      </c>
      <c r="J49" s="170">
        <v>3.5</v>
      </c>
      <c r="K49" s="170">
        <v>1</v>
      </c>
      <c r="L49" s="172">
        <v>15</v>
      </c>
      <c r="M49" s="173">
        <v>15</v>
      </c>
      <c r="N49" s="173">
        <v>16</v>
      </c>
      <c r="O49" s="173">
        <v>70</v>
      </c>
      <c r="P49" s="173">
        <v>20</v>
      </c>
      <c r="Q49" s="173">
        <v>5</v>
      </c>
      <c r="R49" s="173">
        <v>5</v>
      </c>
      <c r="S49" s="173">
        <v>80</v>
      </c>
      <c r="T49" s="173">
        <v>10</v>
      </c>
      <c r="U49" s="173">
        <v>30</v>
      </c>
    </row>
    <row r="50" spans="1:22" x14ac:dyDescent="0.2">
      <c r="A50" s="93"/>
      <c r="B50" s="166" t="s">
        <v>102</v>
      </c>
      <c r="C50" s="173">
        <v>73</v>
      </c>
      <c r="D50" s="173">
        <v>14</v>
      </c>
      <c r="E50" s="173">
        <v>3</v>
      </c>
      <c r="F50" s="173">
        <v>0.5</v>
      </c>
      <c r="G50" s="173">
        <v>0.5</v>
      </c>
      <c r="H50" s="173">
        <v>1</v>
      </c>
      <c r="I50" s="173">
        <v>3</v>
      </c>
      <c r="J50" s="170">
        <v>4.5</v>
      </c>
      <c r="K50" s="173">
        <v>0.5</v>
      </c>
      <c r="L50" s="172">
        <v>20</v>
      </c>
      <c r="M50" s="173">
        <v>20</v>
      </c>
      <c r="N50" s="173">
        <v>5</v>
      </c>
      <c r="O50" s="173">
        <v>30</v>
      </c>
      <c r="P50" s="173">
        <v>12</v>
      </c>
      <c r="Q50" s="173">
        <v>5</v>
      </c>
      <c r="R50" s="173">
        <v>5</v>
      </c>
      <c r="S50" s="173">
        <v>150</v>
      </c>
      <c r="T50" s="173">
        <v>100</v>
      </c>
      <c r="U50" s="173">
        <v>300</v>
      </c>
    </row>
    <row r="51" spans="1:22" x14ac:dyDescent="0.2">
      <c r="A51" s="93"/>
    </row>
    <row r="52" spans="1:22" x14ac:dyDescent="0.2">
      <c r="A52" s="93"/>
    </row>
    <row r="54" spans="1:22" x14ac:dyDescent="0.2">
      <c r="B54" s="174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4"/>
      <c r="N54" s="175"/>
      <c r="O54" s="175"/>
      <c r="P54" s="175"/>
      <c r="Q54" s="175"/>
      <c r="R54" s="175"/>
      <c r="T54" s="82"/>
      <c r="V54" s="82"/>
    </row>
    <row r="55" spans="1:22" x14ac:dyDescent="0.2">
      <c r="B55" s="174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4"/>
      <c r="N55" s="176"/>
      <c r="O55" s="176"/>
      <c r="P55" s="176"/>
      <c r="Q55" s="176"/>
      <c r="R55" s="176"/>
      <c r="T55" s="82"/>
      <c r="V55" s="82"/>
    </row>
    <row r="56" spans="1:22" x14ac:dyDescent="0.2">
      <c r="B56" s="177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4"/>
      <c r="N56" s="179"/>
      <c r="O56" s="179"/>
      <c r="P56" s="179"/>
      <c r="Q56" s="179"/>
      <c r="R56" s="179"/>
      <c r="T56" s="82"/>
      <c r="V56" s="82"/>
    </row>
    <row r="57" spans="1:22" x14ac:dyDescent="0.2">
      <c r="B57" s="177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T57" s="82"/>
      <c r="V57" s="82"/>
    </row>
    <row r="58" spans="1:22" x14ac:dyDescent="0.2">
      <c r="C58" s="80"/>
      <c r="F58" s="9"/>
      <c r="S58" s="8"/>
      <c r="T58" s="81"/>
      <c r="V58" s="82"/>
    </row>
    <row r="59" spans="1:22" x14ac:dyDescent="0.2">
      <c r="S59" s="8"/>
      <c r="T59" s="81"/>
      <c r="V59" s="82"/>
    </row>
    <row r="60" spans="1:22" x14ac:dyDescent="0.2">
      <c r="D60" s="91"/>
      <c r="F60" s="9"/>
      <c r="T60" s="82"/>
      <c r="V60" s="82"/>
    </row>
    <row r="61" spans="1:22" x14ac:dyDescent="0.2">
      <c r="F61" s="9"/>
      <c r="T61" s="82"/>
      <c r="V61" s="82"/>
    </row>
    <row r="62" spans="1:22" x14ac:dyDescent="0.2">
      <c r="M62" s="180"/>
      <c r="P62" s="176"/>
      <c r="Q62" s="176"/>
      <c r="R62" s="176"/>
      <c r="T62" s="82"/>
      <c r="V62" s="82"/>
    </row>
    <row r="63" spans="1:22" x14ac:dyDescent="0.2">
      <c r="M63" s="181"/>
      <c r="N63" s="181"/>
      <c r="P63" s="181"/>
      <c r="Q63" s="181"/>
      <c r="R63" s="181"/>
      <c r="T63" s="82"/>
      <c r="V63" s="82"/>
    </row>
    <row r="64" spans="1:22" x14ac:dyDescent="0.2">
      <c r="T64" s="82"/>
      <c r="V64" s="82"/>
    </row>
    <row r="65" spans="3:22" x14ac:dyDescent="0.2">
      <c r="T65" s="82"/>
      <c r="V65" s="82"/>
    </row>
    <row r="66" spans="3:22" x14ac:dyDescent="0.2">
      <c r="T66" s="82"/>
      <c r="V66" s="82"/>
    </row>
    <row r="67" spans="3:22" x14ac:dyDescent="0.2">
      <c r="T67" s="82"/>
      <c r="V67" s="82"/>
    </row>
    <row r="68" spans="3:22" x14ac:dyDescent="0.2">
      <c r="F68" s="9"/>
      <c r="T68" s="82"/>
      <c r="V68" s="82"/>
    </row>
    <row r="69" spans="3:22" x14ac:dyDescent="0.2">
      <c r="F69" s="9"/>
      <c r="T69" s="82"/>
      <c r="V69" s="82"/>
    </row>
    <row r="70" spans="3:22" x14ac:dyDescent="0.2">
      <c r="F70" s="9"/>
      <c r="T70" s="82"/>
      <c r="V70" s="82"/>
    </row>
    <row r="71" spans="3:22" x14ac:dyDescent="0.2">
      <c r="F71" s="9"/>
      <c r="H71" s="93"/>
      <c r="J71" s="6"/>
      <c r="T71" s="82"/>
      <c r="V71" s="82"/>
    </row>
    <row r="72" spans="3:22" x14ac:dyDescent="0.2">
      <c r="C72" s="182"/>
      <c r="F72" s="9"/>
      <c r="T72" s="82"/>
      <c r="V72" s="82"/>
    </row>
    <row r="73" spans="3:22" x14ac:dyDescent="0.2">
      <c r="E73" s="6"/>
      <c r="F73" s="9"/>
      <c r="T73" s="82"/>
      <c r="V73" s="82"/>
    </row>
    <row r="74" spans="3:22" x14ac:dyDescent="0.2">
      <c r="D74" s="13"/>
      <c r="F74" s="9"/>
      <c r="T74" s="82"/>
      <c r="V74" s="82"/>
    </row>
    <row r="75" spans="3:22" x14ac:dyDescent="0.2">
      <c r="C75" s="6"/>
      <c r="F75" s="92"/>
      <c r="T75" s="82"/>
      <c r="V75" s="82"/>
    </row>
    <row r="76" spans="3:22" x14ac:dyDescent="0.2">
      <c r="F76" s="9"/>
      <c r="T76" s="82"/>
      <c r="V76" s="82"/>
    </row>
    <row r="77" spans="3:22" x14ac:dyDescent="0.2">
      <c r="F77" s="9"/>
      <c r="T77" s="82"/>
      <c r="V77" s="82"/>
    </row>
    <row r="78" spans="3:22" x14ac:dyDescent="0.2">
      <c r="F78" s="9"/>
      <c r="T78" s="82"/>
      <c r="V78" s="82"/>
    </row>
    <row r="79" spans="3:22" x14ac:dyDescent="0.2">
      <c r="F79" s="9"/>
      <c r="T79" s="82"/>
      <c r="V79" s="8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Supp. T2 - P4 Pnuc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2021-09-15T16:52:40Z</dcterms:created>
  <dcterms:modified xsi:type="dcterms:W3CDTF">2021-09-15T16:54:06Z</dcterms:modified>
</cp:coreProperties>
</file>